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bookViews>
    <workbookView xWindow="-120" yWindow="-120" windowWidth="29040" windowHeight="158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8" l="1"/>
  <c r="E11" i="8"/>
  <c r="E32" i="8" l="1"/>
  <c r="E42" i="8"/>
  <c r="E195" i="8" l="1"/>
  <c r="E208" i="8"/>
  <c r="E15" i="8"/>
  <c r="E147" i="8" l="1"/>
  <c r="E215" i="8" l="1"/>
  <c r="E211" i="8" l="1"/>
  <c r="E219" i="8" l="1"/>
  <c r="E216" i="8"/>
  <c r="E214" i="8"/>
  <c r="E188" i="8"/>
  <c r="E210" i="8" s="1"/>
  <c r="E189" i="8"/>
  <c r="E184" i="8"/>
  <c r="E34" i="8"/>
  <c r="E218" i="8" s="1"/>
  <c r="E39" i="8"/>
  <c r="E10" i="8" l="1"/>
  <c r="E43" i="8" l="1"/>
  <c r="E108" i="8"/>
  <c r="E48" i="8" l="1"/>
  <c r="E33" i="8"/>
  <c r="E217" i="8" s="1"/>
  <c r="E24" i="8"/>
  <c r="E19" i="8"/>
  <c r="E16" i="8"/>
  <c r="E92" i="8"/>
  <c r="E183" i="8"/>
  <c r="E187" i="8"/>
  <c r="E99" i="8"/>
  <c r="E96" i="8"/>
  <c r="E89" i="8"/>
  <c r="E86" i="8"/>
  <c r="E165" i="8"/>
  <c r="E171" i="8"/>
  <c r="E179" i="8"/>
  <c r="E175" i="8"/>
  <c r="E157" i="8"/>
  <c r="E153" i="8"/>
  <c r="E149" i="8"/>
  <c r="E161" i="8"/>
  <c r="E144" i="8"/>
  <c r="E140" i="8"/>
  <c r="E132" i="8"/>
  <c r="E136" i="8"/>
  <c r="E124" i="8"/>
  <c r="E128" i="8"/>
  <c r="E120" i="8"/>
  <c r="E111" i="8"/>
  <c r="E107" i="8"/>
  <c r="E116" i="8"/>
  <c r="E102" i="8"/>
  <c r="E166" i="8"/>
  <c r="E172" i="8"/>
  <c r="E180" i="8"/>
  <c r="E176" i="8"/>
  <c r="E168" i="8"/>
  <c r="E169" i="8" s="1"/>
  <c r="E170" i="8"/>
  <c r="E158" i="8"/>
  <c r="E154" i="8"/>
  <c r="E145" i="8"/>
  <c r="E162" i="8"/>
  <c r="E150" i="8"/>
  <c r="E141" i="8"/>
  <c r="E133" i="8"/>
  <c r="E137" i="8"/>
  <c r="E125" i="8"/>
  <c r="E129" i="8"/>
  <c r="E121" i="8"/>
  <c r="E112" i="8"/>
  <c r="E117" i="8"/>
  <c r="E164" i="8"/>
  <c r="E178" i="8"/>
  <c r="E174" i="8"/>
  <c r="E156" i="8"/>
  <c r="E152" i="8"/>
  <c r="E143" i="8"/>
  <c r="E160" i="8"/>
  <c r="E148" i="8"/>
  <c r="E139" i="8"/>
  <c r="E131" i="8"/>
  <c r="E135" i="8"/>
  <c r="E127" i="8"/>
  <c r="E110" i="8"/>
  <c r="E106" i="8"/>
  <c r="E123" i="8"/>
  <c r="E119" i="8"/>
  <c r="E115" i="8"/>
  <c r="E101" i="8"/>
  <c r="E98" i="8"/>
  <c r="E95" i="8"/>
  <c r="E91" i="8"/>
  <c r="E88" i="8"/>
  <c r="E85" i="8"/>
  <c r="E114" i="8" l="1"/>
  <c r="E209" i="8"/>
  <c r="E212" i="8"/>
  <c r="E18" i="8"/>
  <c r="E61" i="8" l="1"/>
  <c r="E186" i="8"/>
  <c r="E182" i="8"/>
  <c r="E63" i="8" l="1"/>
  <c r="E173" i="8"/>
  <c r="E118" i="8"/>
  <c r="E109" i="8" l="1"/>
  <c r="E67" i="8"/>
  <c r="E59" i="8"/>
  <c r="E204" i="8" s="1"/>
  <c r="E55" i="8"/>
  <c r="E203" i="8" s="1"/>
  <c r="E220" i="8" l="1"/>
  <c r="E177" i="8"/>
  <c r="E53" i="8"/>
  <c r="E47" i="8"/>
  <c r="E41" i="8"/>
  <c r="E36" i="8"/>
  <c r="E198" i="8" s="1"/>
  <c r="E31" i="8"/>
  <c r="E197" i="8" s="1"/>
  <c r="E23" i="8"/>
  <c r="E196" i="8" s="1"/>
  <c r="E14" i="8"/>
  <c r="E9" i="8"/>
  <c r="E194" i="8" l="1"/>
  <c r="E60" i="8"/>
  <c r="E191" i="8" s="1"/>
  <c r="E138" i="8"/>
  <c r="E90" i="8"/>
  <c r="E142" i="8"/>
  <c r="E163" i="8"/>
  <c r="E73" i="8"/>
  <c r="E87" i="8"/>
  <c r="E190" i="8"/>
  <c r="E122" i="8"/>
  <c r="E126" i="8"/>
  <c r="E69" i="8"/>
  <c r="E97" i="8"/>
  <c r="E130" i="8"/>
  <c r="E105" i="8"/>
  <c r="E75" i="8"/>
  <c r="E84" i="8"/>
  <c r="E199" i="8" s="1"/>
  <c r="E134" i="8"/>
  <c r="E167" i="8"/>
  <c r="E77" i="8"/>
  <c r="E100" i="8"/>
  <c r="E155" i="8"/>
  <c r="E159" i="8"/>
  <c r="E181" i="8"/>
  <c r="E65" i="8"/>
  <c r="E79" i="8"/>
  <c r="E185" i="8"/>
  <c r="E202" i="8" s="1"/>
  <c r="E94" i="8"/>
  <c r="E71" i="8"/>
  <c r="E81" i="8"/>
  <c r="E151" i="8"/>
  <c r="E201" i="8" l="1"/>
  <c r="E200" i="8"/>
  <c r="E205" i="8"/>
</calcChain>
</file>

<file path=xl/sharedStrings.xml><?xml version="1.0" encoding="utf-8"?>
<sst xmlns="http://schemas.openxmlformats.org/spreadsheetml/2006/main" count="373" uniqueCount="152">
  <si>
    <t>Pavadinimas</t>
  </si>
  <si>
    <t>B</t>
  </si>
  <si>
    <t>D</t>
  </si>
  <si>
    <t>K</t>
  </si>
  <si>
    <t>S</t>
  </si>
  <si>
    <t>V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</si>
  <si>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</si>
  <si>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</si>
  <si>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</si>
  <si>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</si>
  <si>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</si>
  <si>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</si>
  <si>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</si>
  <si>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</si>
  <si>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</si>
  <si>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</si>
  <si>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</si>
  <si>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</si>
  <si>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</si>
  <si>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</si>
  <si>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</si>
  <si>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</si>
  <si>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</si>
  <si>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</si>
  <si>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</si>
  <si>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</si>
  <si>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</si>
  <si>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</si>
  <si>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</si>
  <si>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PATVIRTINTA                                                          Kretingos rajono savivaldybės tarybos                     2025 m. vasario  d. sprendimu Nr. T2-                          3 priedas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</si>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</sst>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3" borderId="29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7" xfId="0" quotePrefix="1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5" xfId="1" applyFont="1" applyFill="1" applyBorder="1" applyAlignment="1" applyProtection="1">
      <alignment horizontal="left" vertical="center" wrapText="1"/>
    </xf>
    <xf numFmtId="0" fontId="1" fillId="0" borderId="32" xfId="1" applyFont="1" applyFill="1" applyBorder="1" applyAlignment="1" applyProtection="1">
      <alignment horizontal="left" vertical="center" wrapText="1"/>
    </xf>
    <xf numFmtId="0" fontId="1" fillId="0" borderId="25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3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top" wrapText="1"/>
    </xf>
    <xf numFmtId="0" fontId="2" fillId="0" borderId="14" xfId="0" quotePrefix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7" xfId="0" quotePrefix="1" applyFont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0" borderId="9" xfId="0" applyNumberFormat="1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center" wrapText="1"/>
    </xf>
    <xf numFmtId="3" fontId="2" fillId="0" borderId="43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41" xfId="3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30" xfId="0" quotePrefix="1" applyFont="1" applyBorder="1" applyAlignment="1">
      <alignment horizontal="left" vertical="center" wrapText="1"/>
    </xf>
    <xf numFmtId="0" fontId="2" fillId="0" borderId="33" xfId="0" quotePrefix="1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30" xfId="3" applyFont="1" applyBorder="1" applyAlignment="1">
      <alignment horizontal="left" vertical="center" wrapText="1"/>
    </xf>
    <xf numFmtId="0" fontId="2" fillId="0" borderId="31" xfId="3" applyFont="1" applyBorder="1" applyAlignment="1">
      <alignment horizontal="left" vertical="top" wrapText="1"/>
    </xf>
    <xf numFmtId="0" fontId="2" fillId="0" borderId="23" xfId="3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23" xfId="0" quotePrefix="1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numFmt numFmtId="165" formatCode="&quot;&quot;"/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0"/>
  <sheetViews>
    <sheetView tabSelected="1" zoomScale="130" zoomScaleNormal="130" workbookViewId="0">
      <selection activeCell="A2" sqref="A2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18.6640625" style="2" customWidth="1"/>
    <col min="6" max="16384" width="8.88671875" style="2"/>
  </cols>
  <sheetData>
    <row r="1" spans="1:5" x14ac:dyDescent="0.25">
      <c r="B1" s="1"/>
      <c r="C1" s="1"/>
      <c r="D1" s="67" t="s">
        <v>29</v>
      </c>
      <c r="E1" s="67"/>
    </row>
    <row r="2" spans="1:5" x14ac:dyDescent="0.25">
      <c r="B2" s="1"/>
      <c r="C2" s="1"/>
      <c r="D2" s="67"/>
      <c r="E2" s="67"/>
    </row>
    <row r="3" spans="1:5" ht="24.6" customHeight="1" x14ac:dyDescent="0.25">
      <c r="B3" s="1"/>
      <c r="C3" s="1"/>
      <c r="D3" s="67"/>
      <c r="E3" s="67"/>
    </row>
    <row r="4" spans="1:5" x14ac:dyDescent="0.25">
      <c r="B4" s="1"/>
      <c r="C4" s="1"/>
      <c r="D4" s="5"/>
      <c r="E4" s="1"/>
    </row>
    <row r="5" spans="1:5" ht="15.6" x14ac:dyDescent="0.25">
      <c r="A5" s="66" t="s">
        <v>68</v>
      </c>
      <c r="B5" s="66"/>
      <c r="C5" s="66"/>
      <c r="D5" s="66"/>
      <c r="E5" s="66"/>
    </row>
    <row r="6" spans="1:5" ht="12.6" thickBot="1" x14ac:dyDescent="0.3">
      <c r="B6" s="3"/>
      <c r="C6" s="3"/>
      <c r="D6" s="5"/>
      <c r="E6" s="1"/>
    </row>
    <row r="7" spans="1:5" ht="12.6" thickBot="1" x14ac:dyDescent="0.3">
      <c r="A7" s="10" t="s">
        <v>7</v>
      </c>
      <c r="B7" s="4" t="s">
        <v>19</v>
      </c>
      <c r="C7" s="4" t="s">
        <v>30</v>
      </c>
      <c r="D7" s="4" t="s">
        <v>20</v>
      </c>
      <c r="E7" s="9" t="s">
        <v>31</v>
      </c>
    </row>
    <row r="8" spans="1:5" ht="24" x14ac:dyDescent="0.25">
      <c r="A8" s="72" t="s">
        <v>23</v>
      </c>
      <c r="B8" s="31" t="s">
        <v>69</v>
      </c>
      <c r="C8" s="12" t="s">
        <v>33</v>
      </c>
      <c r="D8" s="8" t="s">
        <v>1</v>
      </c>
      <c r="E8" s="35">
        <v>110110</v>
      </c>
    </row>
    <row r="9" spans="1:5" ht="13.8" customHeight="1" thickBot="1" x14ac:dyDescent="0.3">
      <c r="A9" s="74"/>
      <c r="B9" s="22" t="s">
        <v>22</v>
      </c>
      <c r="C9" s="23"/>
      <c r="D9" s="24"/>
      <c r="E9" s="44">
        <f>SUBTOTAL(9,E8:E8)</f>
        <v>110110</v>
      </c>
    </row>
    <row r="10" spans="1:5" x14ac:dyDescent="0.25">
      <c r="A10" s="68" t="s">
        <v>24</v>
      </c>
      <c r="B10" s="101" t="s">
        <v>32</v>
      </c>
      <c r="C10" s="103" t="s">
        <v>33</v>
      </c>
      <c r="D10" s="8" t="s">
        <v>1</v>
      </c>
      <c r="E10" s="35">
        <f>3719140+258740+327464+1957000+886300</f>
        <v>7148644</v>
      </c>
    </row>
    <row r="11" spans="1:5" ht="12" customHeight="1" x14ac:dyDescent="0.25">
      <c r="A11" s="69"/>
      <c r="B11" s="102"/>
      <c r="C11" s="81"/>
      <c r="D11" s="6" t="s">
        <v>4</v>
      </c>
      <c r="E11" s="36">
        <f>19200+10800</f>
        <v>30000</v>
      </c>
    </row>
    <row r="12" spans="1:5" ht="12" customHeight="1" x14ac:dyDescent="0.25">
      <c r="A12" s="69"/>
      <c r="B12" s="102"/>
      <c r="C12" s="81"/>
      <c r="D12" s="6" t="s">
        <v>2</v>
      </c>
      <c r="E12" s="36">
        <v>225360</v>
      </c>
    </row>
    <row r="13" spans="1:5" ht="12" customHeight="1" x14ac:dyDescent="0.25">
      <c r="A13" s="69"/>
      <c r="B13" s="102"/>
      <c r="C13" s="81"/>
      <c r="D13" s="6" t="s">
        <v>47</v>
      </c>
      <c r="E13" s="36">
        <v>62920</v>
      </c>
    </row>
    <row r="14" spans="1:5" ht="12" customHeight="1" x14ac:dyDescent="0.25">
      <c r="A14" s="69"/>
      <c r="B14" s="102"/>
      <c r="C14" s="26" t="s">
        <v>21</v>
      </c>
      <c r="D14" s="25"/>
      <c r="E14" s="43">
        <f>SUBTOTAL(9,E10:E13)</f>
        <v>7466924</v>
      </c>
    </row>
    <row r="15" spans="1:5" ht="12" customHeight="1" x14ac:dyDescent="0.25">
      <c r="A15" s="69"/>
      <c r="B15" s="102"/>
      <c r="C15" s="61" t="s">
        <v>34</v>
      </c>
      <c r="D15" s="6" t="s">
        <v>1</v>
      </c>
      <c r="E15" s="36">
        <f>980000+40000+200000</f>
        <v>1220000</v>
      </c>
    </row>
    <row r="16" spans="1:5" ht="12" customHeight="1" x14ac:dyDescent="0.25">
      <c r="A16" s="69"/>
      <c r="B16" s="102"/>
      <c r="C16" s="62"/>
      <c r="D16" s="6" t="s">
        <v>4</v>
      </c>
      <c r="E16" s="36">
        <f>49050+72000</f>
        <v>121050</v>
      </c>
    </row>
    <row r="17" spans="1:5" ht="12" customHeight="1" x14ac:dyDescent="0.25">
      <c r="A17" s="69"/>
      <c r="B17" s="102"/>
      <c r="C17" s="63"/>
      <c r="D17" s="6" t="s">
        <v>106</v>
      </c>
      <c r="E17" s="39">
        <v>300000</v>
      </c>
    </row>
    <row r="18" spans="1:5" ht="12" customHeight="1" x14ac:dyDescent="0.25">
      <c r="A18" s="69"/>
      <c r="B18" s="102"/>
      <c r="C18" s="26" t="s">
        <v>21</v>
      </c>
      <c r="D18" s="25"/>
      <c r="E18" s="43">
        <f>SUM(E15:E17)</f>
        <v>1641050</v>
      </c>
    </row>
    <row r="19" spans="1:5" ht="12" customHeight="1" x14ac:dyDescent="0.25">
      <c r="A19" s="69"/>
      <c r="B19" s="102"/>
      <c r="C19" s="80" t="s">
        <v>35</v>
      </c>
      <c r="D19" s="6" t="s">
        <v>1</v>
      </c>
      <c r="E19" s="36">
        <f>86972+80000</f>
        <v>166972</v>
      </c>
    </row>
    <row r="20" spans="1:5" ht="12" customHeight="1" x14ac:dyDescent="0.25">
      <c r="A20" s="69"/>
      <c r="B20" s="102"/>
      <c r="C20" s="81"/>
      <c r="D20" s="6" t="s">
        <v>2</v>
      </c>
      <c r="E20" s="36">
        <v>416800</v>
      </c>
    </row>
    <row r="21" spans="1:5" ht="12" customHeight="1" x14ac:dyDescent="0.25">
      <c r="A21" s="69"/>
      <c r="B21" s="102"/>
      <c r="C21" s="81"/>
      <c r="D21" s="6" t="s">
        <v>111</v>
      </c>
      <c r="E21" s="36">
        <v>21880</v>
      </c>
    </row>
    <row r="22" spans="1:5" ht="12" customHeight="1" x14ac:dyDescent="0.25">
      <c r="A22" s="69"/>
      <c r="B22" s="102"/>
      <c r="C22" s="81"/>
      <c r="D22" s="6" t="s">
        <v>36</v>
      </c>
      <c r="E22" s="36">
        <v>126830</v>
      </c>
    </row>
    <row r="23" spans="1:5" ht="12" customHeight="1" x14ac:dyDescent="0.25">
      <c r="A23" s="69"/>
      <c r="B23" s="102"/>
      <c r="C23" s="26" t="s">
        <v>21</v>
      </c>
      <c r="D23" s="25"/>
      <c r="E23" s="43">
        <f>SUBTOTAL(9,E19:E22)</f>
        <v>732482</v>
      </c>
    </row>
    <row r="24" spans="1:5" ht="12" customHeight="1" x14ac:dyDescent="0.25">
      <c r="A24" s="69"/>
      <c r="B24" s="102"/>
      <c r="C24" s="80" t="s">
        <v>37</v>
      </c>
      <c r="D24" s="6" t="s">
        <v>1</v>
      </c>
      <c r="E24" s="36">
        <f>120400+4662295</f>
        <v>4782695</v>
      </c>
    </row>
    <row r="25" spans="1:5" ht="12" customHeight="1" x14ac:dyDescent="0.25">
      <c r="A25" s="69"/>
      <c r="B25" s="102"/>
      <c r="C25" s="81"/>
      <c r="D25" s="6" t="s">
        <v>38</v>
      </c>
      <c r="E25" s="36">
        <v>1760000</v>
      </c>
    </row>
    <row r="26" spans="1:5" ht="12" customHeight="1" x14ac:dyDescent="0.25">
      <c r="A26" s="69"/>
      <c r="B26" s="102"/>
      <c r="C26" s="81"/>
      <c r="D26" s="6" t="s">
        <v>109</v>
      </c>
      <c r="E26" s="36">
        <v>431700</v>
      </c>
    </row>
    <row r="27" spans="1:5" ht="12" customHeight="1" x14ac:dyDescent="0.25">
      <c r="A27" s="69"/>
      <c r="B27" s="102"/>
      <c r="C27" s="81"/>
      <c r="D27" s="6" t="s">
        <v>106</v>
      </c>
      <c r="E27" s="36">
        <v>175000</v>
      </c>
    </row>
    <row r="28" spans="1:5" ht="12" customHeight="1" x14ac:dyDescent="0.25">
      <c r="A28" s="69"/>
      <c r="B28" s="102"/>
      <c r="C28" s="81"/>
      <c r="D28" s="6" t="s">
        <v>111</v>
      </c>
      <c r="E28" s="36">
        <v>449891</v>
      </c>
    </row>
    <row r="29" spans="1:5" ht="12" customHeight="1" x14ac:dyDescent="0.25">
      <c r="A29" s="69"/>
      <c r="B29" s="102"/>
      <c r="C29" s="81"/>
      <c r="D29" s="6" t="s">
        <v>39</v>
      </c>
      <c r="E29" s="36">
        <v>65325</v>
      </c>
    </row>
    <row r="30" spans="1:5" ht="12" customHeight="1" x14ac:dyDescent="0.25">
      <c r="A30" s="69"/>
      <c r="B30" s="102"/>
      <c r="C30" s="81"/>
      <c r="D30" s="6" t="s">
        <v>36</v>
      </c>
      <c r="E30" s="36">
        <v>2139565</v>
      </c>
    </row>
    <row r="31" spans="1:5" ht="12" customHeight="1" x14ac:dyDescent="0.25">
      <c r="A31" s="69"/>
      <c r="B31" s="102"/>
      <c r="C31" s="26" t="s">
        <v>21</v>
      </c>
      <c r="D31" s="25"/>
      <c r="E31" s="43">
        <f t="shared" ref="E31" si="0">SUBTOTAL(9,E24:E30)</f>
        <v>9804176</v>
      </c>
    </row>
    <row r="32" spans="1:5" ht="12" customHeight="1" x14ac:dyDescent="0.25">
      <c r="A32" s="69"/>
      <c r="B32" s="102"/>
      <c r="C32" s="61" t="s">
        <v>40</v>
      </c>
      <c r="D32" s="6" t="s">
        <v>1</v>
      </c>
      <c r="E32" s="36">
        <f>477740+5598560+448000</f>
        <v>6524300</v>
      </c>
    </row>
    <row r="33" spans="1:6" ht="12" customHeight="1" x14ac:dyDescent="0.25">
      <c r="A33" s="69"/>
      <c r="B33" s="102"/>
      <c r="C33" s="62"/>
      <c r="D33" s="6" t="s">
        <v>41</v>
      </c>
      <c r="E33" s="36">
        <f>139000+126000</f>
        <v>265000</v>
      </c>
    </row>
    <row r="34" spans="1:6" ht="12" customHeight="1" x14ac:dyDescent="0.25">
      <c r="A34" s="69"/>
      <c r="B34" s="102"/>
      <c r="C34" s="62"/>
      <c r="D34" s="6" t="s">
        <v>42</v>
      </c>
      <c r="E34" s="36">
        <f>81680+160225</f>
        <v>241905</v>
      </c>
    </row>
    <row r="35" spans="1:6" ht="12" customHeight="1" x14ac:dyDescent="0.25">
      <c r="A35" s="69"/>
      <c r="B35" s="102"/>
      <c r="C35" s="63"/>
      <c r="D35" s="6" t="s">
        <v>43</v>
      </c>
      <c r="E35" s="36">
        <v>2068600</v>
      </c>
    </row>
    <row r="36" spans="1:6" ht="12" customHeight="1" x14ac:dyDescent="0.25">
      <c r="A36" s="69"/>
      <c r="B36" s="102"/>
      <c r="C36" s="26" t="s">
        <v>21</v>
      </c>
      <c r="D36" s="25"/>
      <c r="E36" s="43">
        <f>SUBTOTAL(9,E32:E35)</f>
        <v>9099805</v>
      </c>
    </row>
    <row r="37" spans="1:6" ht="12" customHeight="1" x14ac:dyDescent="0.25">
      <c r="A37" s="69"/>
      <c r="B37" s="102"/>
      <c r="C37" s="61" t="s">
        <v>44</v>
      </c>
      <c r="D37" s="6" t="s">
        <v>1</v>
      </c>
      <c r="E37" s="36">
        <v>220000</v>
      </c>
    </row>
    <row r="38" spans="1:6" ht="12" customHeight="1" x14ac:dyDescent="0.25">
      <c r="A38" s="69"/>
      <c r="B38" s="102"/>
      <c r="C38" s="63"/>
      <c r="D38" s="6" t="s">
        <v>42</v>
      </c>
      <c r="E38" s="39">
        <v>31773</v>
      </c>
    </row>
    <row r="39" spans="1:6" ht="12" customHeight="1" x14ac:dyDescent="0.25">
      <c r="A39" s="69"/>
      <c r="B39" s="102"/>
      <c r="C39" s="26" t="s">
        <v>21</v>
      </c>
      <c r="D39" s="25"/>
      <c r="E39" s="43">
        <f>SUBTOTAL(9,E37:E38)</f>
        <v>251773</v>
      </c>
    </row>
    <row r="40" spans="1:6" ht="12" customHeight="1" x14ac:dyDescent="0.25">
      <c r="A40" s="69"/>
      <c r="B40" s="102"/>
      <c r="C40" s="21" t="s">
        <v>45</v>
      </c>
      <c r="D40" s="6" t="s">
        <v>1</v>
      </c>
      <c r="E40" s="36">
        <v>429000</v>
      </c>
    </row>
    <row r="41" spans="1:6" ht="12" customHeight="1" x14ac:dyDescent="0.25">
      <c r="A41" s="69"/>
      <c r="B41" s="102"/>
      <c r="C41" s="26" t="s">
        <v>21</v>
      </c>
      <c r="D41" s="25"/>
      <c r="E41" s="43">
        <f>SUBTOTAL(9,E40:E40)</f>
        <v>429000</v>
      </c>
    </row>
    <row r="42" spans="1:6" ht="12" customHeight="1" x14ac:dyDescent="0.25">
      <c r="A42" s="69"/>
      <c r="B42" s="102"/>
      <c r="C42" s="80" t="s">
        <v>46</v>
      </c>
      <c r="D42" s="6" t="s">
        <v>1</v>
      </c>
      <c r="E42" s="36">
        <f>150000+1214600</f>
        <v>1364600</v>
      </c>
      <c r="F42" s="32"/>
    </row>
    <row r="43" spans="1:6" ht="12" customHeight="1" x14ac:dyDescent="0.25">
      <c r="A43" s="69"/>
      <c r="B43" s="102"/>
      <c r="C43" s="81"/>
      <c r="D43" s="6" t="s">
        <v>3</v>
      </c>
      <c r="E43" s="36">
        <f>382440.6+100000</f>
        <v>482440.6</v>
      </c>
    </row>
    <row r="44" spans="1:6" ht="12" customHeight="1" x14ac:dyDescent="0.25">
      <c r="A44" s="69"/>
      <c r="B44" s="102"/>
      <c r="C44" s="81"/>
      <c r="D44" s="6" t="s">
        <v>111</v>
      </c>
      <c r="E44" s="36">
        <v>30000</v>
      </c>
    </row>
    <row r="45" spans="1:6" ht="12" customHeight="1" x14ac:dyDescent="0.25">
      <c r="A45" s="69"/>
      <c r="B45" s="102"/>
      <c r="C45" s="81"/>
      <c r="D45" s="6" t="s">
        <v>39</v>
      </c>
      <c r="E45" s="36">
        <v>911163</v>
      </c>
    </row>
    <row r="46" spans="1:6" ht="12" customHeight="1" x14ac:dyDescent="0.25">
      <c r="A46" s="69"/>
      <c r="B46" s="102"/>
      <c r="C46" s="81"/>
      <c r="D46" s="6" t="s">
        <v>47</v>
      </c>
      <c r="E46" s="36">
        <v>346739</v>
      </c>
    </row>
    <row r="47" spans="1:6" ht="12" customHeight="1" x14ac:dyDescent="0.25">
      <c r="A47" s="69"/>
      <c r="B47" s="102"/>
      <c r="C47" s="26" t="s">
        <v>21</v>
      </c>
      <c r="D47" s="25"/>
      <c r="E47" s="43">
        <f>SUBTOTAL(9,E42:E46)</f>
        <v>3134942.6</v>
      </c>
    </row>
    <row r="48" spans="1:6" ht="12" customHeight="1" x14ac:dyDescent="0.25">
      <c r="A48" s="69"/>
      <c r="B48" s="102"/>
      <c r="C48" s="80" t="s">
        <v>48</v>
      </c>
      <c r="D48" s="6" t="s">
        <v>1</v>
      </c>
      <c r="E48" s="36">
        <f>274344+3366000</f>
        <v>3640344</v>
      </c>
    </row>
    <row r="49" spans="1:5" ht="12" customHeight="1" x14ac:dyDescent="0.25">
      <c r="A49" s="69"/>
      <c r="B49" s="102"/>
      <c r="C49" s="81"/>
      <c r="D49" s="6" t="s">
        <v>2</v>
      </c>
      <c r="E49" s="39">
        <v>2471600</v>
      </c>
    </row>
    <row r="50" spans="1:5" ht="12" customHeight="1" x14ac:dyDescent="0.25">
      <c r="A50" s="69"/>
      <c r="B50" s="102"/>
      <c r="C50" s="81"/>
      <c r="D50" s="6" t="s">
        <v>39</v>
      </c>
      <c r="E50" s="39">
        <v>381231</v>
      </c>
    </row>
    <row r="51" spans="1:5" ht="12" customHeight="1" x14ac:dyDescent="0.25">
      <c r="A51" s="69"/>
      <c r="B51" s="102"/>
      <c r="C51" s="81"/>
      <c r="D51" s="6" t="s">
        <v>111</v>
      </c>
      <c r="E51" s="39">
        <v>4550</v>
      </c>
    </row>
    <row r="52" spans="1:5" ht="12" customHeight="1" x14ac:dyDescent="0.25">
      <c r="A52" s="69"/>
      <c r="B52" s="102"/>
      <c r="C52" s="81"/>
      <c r="D52" s="6" t="s">
        <v>47</v>
      </c>
      <c r="E52" s="39">
        <v>41770</v>
      </c>
    </row>
    <row r="53" spans="1:5" ht="12" customHeight="1" x14ac:dyDescent="0.25">
      <c r="A53" s="69"/>
      <c r="B53" s="102"/>
      <c r="C53" s="26" t="s">
        <v>21</v>
      </c>
      <c r="D53" s="25"/>
      <c r="E53" s="43">
        <f>SUBTOTAL(9,E48:E52)</f>
        <v>6539495</v>
      </c>
    </row>
    <row r="54" spans="1:5" ht="12" customHeight="1" x14ac:dyDescent="0.25">
      <c r="A54" s="69"/>
      <c r="B54" s="102"/>
      <c r="C54" s="13" t="s">
        <v>49</v>
      </c>
      <c r="D54" s="6" t="s">
        <v>1</v>
      </c>
      <c r="E54" s="36">
        <v>871000</v>
      </c>
    </row>
    <row r="55" spans="1:5" ht="12" customHeight="1" x14ac:dyDescent="0.25">
      <c r="A55" s="69"/>
      <c r="B55" s="102"/>
      <c r="C55" s="26" t="s">
        <v>21</v>
      </c>
      <c r="D55" s="6"/>
      <c r="E55" s="43">
        <f>SUBTOTAL(9,E54:E54)</f>
        <v>871000</v>
      </c>
    </row>
    <row r="56" spans="1:5" ht="12" customHeight="1" x14ac:dyDescent="0.25">
      <c r="A56" s="69"/>
      <c r="B56" s="102"/>
      <c r="C56" s="61" t="s">
        <v>50</v>
      </c>
      <c r="D56" s="6" t="s">
        <v>1</v>
      </c>
      <c r="E56" s="36">
        <v>118000</v>
      </c>
    </row>
    <row r="57" spans="1:5" ht="12" customHeight="1" x14ac:dyDescent="0.25">
      <c r="A57" s="69"/>
      <c r="B57" s="102"/>
      <c r="C57" s="62"/>
      <c r="D57" s="6" t="s">
        <v>41</v>
      </c>
      <c r="E57" s="36">
        <v>62000</v>
      </c>
    </row>
    <row r="58" spans="1:5" ht="12" customHeight="1" x14ac:dyDescent="0.25">
      <c r="A58" s="69"/>
      <c r="B58" s="102"/>
      <c r="C58" s="63"/>
      <c r="D58" s="6" t="s">
        <v>2</v>
      </c>
      <c r="E58" s="39">
        <v>0</v>
      </c>
    </row>
    <row r="59" spans="1:5" ht="12" customHeight="1" x14ac:dyDescent="0.25">
      <c r="A59" s="69"/>
      <c r="B59" s="102"/>
      <c r="C59" s="26" t="s">
        <v>21</v>
      </c>
      <c r="D59" s="25"/>
      <c r="E59" s="43">
        <f>SUBTOTAL(9,E56:E58)</f>
        <v>180000</v>
      </c>
    </row>
    <row r="60" spans="1:5" ht="12.6" thickBot="1" x14ac:dyDescent="0.3">
      <c r="A60" s="70"/>
      <c r="B60" s="22" t="s">
        <v>22</v>
      </c>
      <c r="C60" s="23"/>
      <c r="D60" s="24"/>
      <c r="E60" s="44">
        <f>E14+E18+E23+E31+E36+E39+E41+E47+E53+E55+E59</f>
        <v>40150647.600000001</v>
      </c>
    </row>
    <row r="61" spans="1:5" x14ac:dyDescent="0.25">
      <c r="A61" s="77" t="s">
        <v>114</v>
      </c>
      <c r="B61" s="75" t="s">
        <v>108</v>
      </c>
      <c r="C61" s="75" t="s">
        <v>33</v>
      </c>
      <c r="D61" s="29" t="s">
        <v>1</v>
      </c>
      <c r="E61" s="37">
        <f>17429</f>
        <v>17429</v>
      </c>
    </row>
    <row r="62" spans="1:5" x14ac:dyDescent="0.25">
      <c r="A62" s="79"/>
      <c r="B62" s="76"/>
      <c r="C62" s="76"/>
      <c r="D62" s="34" t="s">
        <v>2</v>
      </c>
      <c r="E62" s="38">
        <v>734600</v>
      </c>
    </row>
    <row r="63" spans="1:5" ht="13.8" customHeight="1" thickBot="1" x14ac:dyDescent="0.3">
      <c r="A63" s="78"/>
      <c r="B63" s="22" t="s">
        <v>22</v>
      </c>
      <c r="C63" s="23"/>
      <c r="D63" s="24"/>
      <c r="E63" s="44">
        <f>SUBTOTAL(9,E61:E62)</f>
        <v>752029</v>
      </c>
    </row>
    <row r="64" spans="1:5" ht="24" x14ac:dyDescent="0.25">
      <c r="A64" s="77" t="s">
        <v>115</v>
      </c>
      <c r="B64" s="30" t="s">
        <v>52</v>
      </c>
      <c r="C64" s="28" t="s">
        <v>34</v>
      </c>
      <c r="D64" s="29" t="s">
        <v>1</v>
      </c>
      <c r="E64" s="37">
        <v>290432</v>
      </c>
    </row>
    <row r="65" spans="1:5" ht="13.8" customHeight="1" thickBot="1" x14ac:dyDescent="0.3">
      <c r="A65" s="78"/>
      <c r="B65" s="22" t="s">
        <v>22</v>
      </c>
      <c r="C65" s="23"/>
      <c r="D65" s="24"/>
      <c r="E65" s="44">
        <f>SUBTOTAL(9,E64:E64)</f>
        <v>290432</v>
      </c>
    </row>
    <row r="66" spans="1:5" ht="24" x14ac:dyDescent="0.25">
      <c r="A66" s="72" t="s">
        <v>116</v>
      </c>
      <c r="B66" s="31" t="s">
        <v>53</v>
      </c>
      <c r="C66" s="28" t="s">
        <v>34</v>
      </c>
      <c r="D66" s="8" t="s">
        <v>1</v>
      </c>
      <c r="E66" s="35">
        <v>160480</v>
      </c>
    </row>
    <row r="67" spans="1:5" ht="13.8" customHeight="1" thickBot="1" x14ac:dyDescent="0.3">
      <c r="A67" s="74"/>
      <c r="B67" s="22" t="s">
        <v>22</v>
      </c>
      <c r="C67" s="23"/>
      <c r="D67" s="24"/>
      <c r="E67" s="44">
        <f>SUBTOTAL(9,E66:E66)</f>
        <v>160480</v>
      </c>
    </row>
    <row r="68" spans="1:5" ht="24" x14ac:dyDescent="0.25">
      <c r="A68" s="72" t="s">
        <v>117</v>
      </c>
      <c r="B68" s="31" t="s">
        <v>54</v>
      </c>
      <c r="C68" s="28" t="s">
        <v>34</v>
      </c>
      <c r="D68" s="8" t="s">
        <v>1</v>
      </c>
      <c r="E68" s="35">
        <v>151950</v>
      </c>
    </row>
    <row r="69" spans="1:5" ht="13.8" customHeight="1" thickBot="1" x14ac:dyDescent="0.3">
      <c r="A69" s="74"/>
      <c r="B69" s="22" t="s">
        <v>22</v>
      </c>
      <c r="C69" s="23"/>
      <c r="D69" s="24"/>
      <c r="E69" s="44">
        <f>SUBTOTAL(9,E68:E68)</f>
        <v>151950</v>
      </c>
    </row>
    <row r="70" spans="1:5" ht="24" x14ac:dyDescent="0.25">
      <c r="A70" s="72" t="s">
        <v>118</v>
      </c>
      <c r="B70" s="27" t="s">
        <v>51</v>
      </c>
      <c r="C70" s="28" t="s">
        <v>34</v>
      </c>
      <c r="D70" s="8" t="s">
        <v>1</v>
      </c>
      <c r="E70" s="35">
        <v>1561626</v>
      </c>
    </row>
    <row r="71" spans="1:5" ht="13.8" customHeight="1" thickBot="1" x14ac:dyDescent="0.3">
      <c r="A71" s="74"/>
      <c r="B71" s="22" t="s">
        <v>22</v>
      </c>
      <c r="C71" s="23"/>
      <c r="D71" s="24"/>
      <c r="E71" s="44">
        <f>SUBTOTAL(9,E70:E70)</f>
        <v>1561626</v>
      </c>
    </row>
    <row r="72" spans="1:5" ht="24" x14ac:dyDescent="0.25">
      <c r="A72" s="72" t="s">
        <v>119</v>
      </c>
      <c r="B72" s="31" t="s">
        <v>55</v>
      </c>
      <c r="C72" s="28" t="s">
        <v>34</v>
      </c>
      <c r="D72" s="8" t="s">
        <v>1</v>
      </c>
      <c r="E72" s="35">
        <v>216128</v>
      </c>
    </row>
    <row r="73" spans="1:5" ht="13.8" customHeight="1" thickBot="1" x14ac:dyDescent="0.3">
      <c r="A73" s="74"/>
      <c r="B73" s="22" t="s">
        <v>22</v>
      </c>
      <c r="C73" s="23"/>
      <c r="D73" s="24"/>
      <c r="E73" s="44">
        <f>SUBTOTAL(9,E72:E72)</f>
        <v>216128</v>
      </c>
    </row>
    <row r="74" spans="1:5" ht="24" x14ac:dyDescent="0.25">
      <c r="A74" s="72" t="s">
        <v>120</v>
      </c>
      <c r="B74" s="31" t="s">
        <v>56</v>
      </c>
      <c r="C74" s="28" t="s">
        <v>34</v>
      </c>
      <c r="D74" s="8" t="s">
        <v>1</v>
      </c>
      <c r="E74" s="35">
        <v>139090</v>
      </c>
    </row>
    <row r="75" spans="1:5" ht="13.8" customHeight="1" thickBot="1" x14ac:dyDescent="0.3">
      <c r="A75" s="74"/>
      <c r="B75" s="22" t="s">
        <v>22</v>
      </c>
      <c r="C75" s="23"/>
      <c r="D75" s="24"/>
      <c r="E75" s="44">
        <f>SUBTOTAL(9,E74:E74)</f>
        <v>139090</v>
      </c>
    </row>
    <row r="76" spans="1:5" ht="24" x14ac:dyDescent="0.25">
      <c r="A76" s="72" t="s">
        <v>121</v>
      </c>
      <c r="B76" s="31" t="s">
        <v>57</v>
      </c>
      <c r="C76" s="28" t="s">
        <v>34</v>
      </c>
      <c r="D76" s="8" t="s">
        <v>1</v>
      </c>
      <c r="E76" s="35">
        <v>257306</v>
      </c>
    </row>
    <row r="77" spans="1:5" ht="13.8" customHeight="1" thickBot="1" x14ac:dyDescent="0.3">
      <c r="A77" s="74"/>
      <c r="B77" s="22" t="s">
        <v>22</v>
      </c>
      <c r="C77" s="23"/>
      <c r="D77" s="24"/>
      <c r="E77" s="44">
        <f>SUBTOTAL(9,E76:E76)</f>
        <v>257306</v>
      </c>
    </row>
    <row r="78" spans="1:5" ht="24" x14ac:dyDescent="0.25">
      <c r="A78" s="72" t="s">
        <v>122</v>
      </c>
      <c r="B78" s="31" t="s">
        <v>58</v>
      </c>
      <c r="C78" s="28" t="s">
        <v>34</v>
      </c>
      <c r="D78" s="8" t="s">
        <v>1</v>
      </c>
      <c r="E78" s="35">
        <v>144134</v>
      </c>
    </row>
    <row r="79" spans="1:5" ht="13.8" customHeight="1" thickBot="1" x14ac:dyDescent="0.3">
      <c r="A79" s="74"/>
      <c r="B79" s="22" t="s">
        <v>22</v>
      </c>
      <c r="C79" s="23"/>
      <c r="D79" s="24"/>
      <c r="E79" s="44">
        <f>SUBTOTAL(9,E78:E78)</f>
        <v>144134</v>
      </c>
    </row>
    <row r="80" spans="1:5" ht="24" x14ac:dyDescent="0.25">
      <c r="A80" s="72" t="s">
        <v>123</v>
      </c>
      <c r="B80" s="31" t="s">
        <v>59</v>
      </c>
      <c r="C80" s="28" t="s">
        <v>34</v>
      </c>
      <c r="D80" s="8" t="s">
        <v>1</v>
      </c>
      <c r="E80" s="35">
        <v>197672</v>
      </c>
    </row>
    <row r="81" spans="1:9" ht="13.8" customHeight="1" thickBot="1" x14ac:dyDescent="0.3">
      <c r="A81" s="74"/>
      <c r="B81" s="22" t="s">
        <v>22</v>
      </c>
      <c r="C81" s="23"/>
      <c r="D81" s="24"/>
      <c r="E81" s="44">
        <f>SUBTOTAL(9,E80:E80)</f>
        <v>197672</v>
      </c>
      <c r="H81" s="45"/>
    </row>
    <row r="82" spans="1:9" ht="12" customHeight="1" x14ac:dyDescent="0.25">
      <c r="A82" s="72" t="s">
        <v>124</v>
      </c>
      <c r="B82" s="71" t="s">
        <v>60</v>
      </c>
      <c r="C82" s="71" t="s">
        <v>44</v>
      </c>
      <c r="D82" s="8" t="s">
        <v>1</v>
      </c>
      <c r="E82" s="35">
        <v>9660</v>
      </c>
    </row>
    <row r="83" spans="1:9" ht="12" customHeight="1" x14ac:dyDescent="0.25">
      <c r="A83" s="73"/>
      <c r="B83" s="63"/>
      <c r="C83" s="63"/>
      <c r="D83" s="6" t="s">
        <v>2</v>
      </c>
      <c r="E83" s="39">
        <v>481250</v>
      </c>
    </row>
    <row r="84" spans="1:9" ht="13.8" customHeight="1" thickBot="1" x14ac:dyDescent="0.3">
      <c r="A84" s="74"/>
      <c r="B84" s="22" t="s">
        <v>22</v>
      </c>
      <c r="C84" s="23"/>
      <c r="D84" s="24"/>
      <c r="E84" s="44">
        <f>SUBTOTAL(9,E82:E83)</f>
        <v>490910</v>
      </c>
    </row>
    <row r="85" spans="1:9" ht="12" customHeight="1" x14ac:dyDescent="0.25">
      <c r="A85" s="72" t="s">
        <v>125</v>
      </c>
      <c r="B85" s="71" t="s">
        <v>61</v>
      </c>
      <c r="C85" s="71" t="s">
        <v>45</v>
      </c>
      <c r="D85" s="8" t="s">
        <v>1</v>
      </c>
      <c r="E85" s="35">
        <f>1715056</f>
        <v>1715056</v>
      </c>
    </row>
    <row r="86" spans="1:9" ht="12" customHeight="1" x14ac:dyDescent="0.25">
      <c r="A86" s="73"/>
      <c r="B86" s="63"/>
      <c r="C86" s="63"/>
      <c r="D86" s="25" t="s">
        <v>4</v>
      </c>
      <c r="E86" s="42">
        <f>10400+77000</f>
        <v>87400</v>
      </c>
    </row>
    <row r="87" spans="1:9" ht="13.2" customHeight="1" thickBot="1" x14ac:dyDescent="0.3">
      <c r="A87" s="74"/>
      <c r="B87" s="22" t="s">
        <v>22</v>
      </c>
      <c r="C87" s="23"/>
      <c r="D87" s="24"/>
      <c r="E87" s="44">
        <f>SUBTOTAL(9,E85:E86)</f>
        <v>1802456</v>
      </c>
    </row>
    <row r="88" spans="1:9" ht="12" customHeight="1" x14ac:dyDescent="0.25">
      <c r="A88" s="72" t="s">
        <v>126</v>
      </c>
      <c r="B88" s="75" t="s">
        <v>62</v>
      </c>
      <c r="C88" s="75" t="s">
        <v>45</v>
      </c>
      <c r="D88" s="29" t="s">
        <v>1</v>
      </c>
      <c r="E88" s="37">
        <f>372749</f>
        <v>372749</v>
      </c>
    </row>
    <row r="89" spans="1:9" ht="12" customHeight="1" x14ac:dyDescent="0.25">
      <c r="A89" s="73"/>
      <c r="B89" s="76"/>
      <c r="C89" s="76"/>
      <c r="D89" s="25" t="s">
        <v>4</v>
      </c>
      <c r="E89" s="42">
        <f>810+4900</f>
        <v>5710</v>
      </c>
    </row>
    <row r="90" spans="1:9" ht="13.8" customHeight="1" thickBot="1" x14ac:dyDescent="0.3">
      <c r="A90" s="74"/>
      <c r="B90" s="22" t="s">
        <v>22</v>
      </c>
      <c r="C90" s="23"/>
      <c r="D90" s="24"/>
      <c r="E90" s="44">
        <f>SUBTOTAL(9,E88:E89)</f>
        <v>378459</v>
      </c>
    </row>
    <row r="91" spans="1:9" x14ac:dyDescent="0.25">
      <c r="A91" s="72" t="s">
        <v>127</v>
      </c>
      <c r="B91" s="71" t="s">
        <v>63</v>
      </c>
      <c r="C91" s="75" t="s">
        <v>45</v>
      </c>
      <c r="D91" s="8" t="s">
        <v>1</v>
      </c>
      <c r="E91" s="35">
        <f>1374426</f>
        <v>1374426</v>
      </c>
    </row>
    <row r="92" spans="1:9" ht="12" customHeight="1" x14ac:dyDescent="0.25">
      <c r="A92" s="73"/>
      <c r="B92" s="62"/>
      <c r="C92" s="94"/>
      <c r="D92" s="25" t="s">
        <v>4</v>
      </c>
      <c r="E92" s="42">
        <f>19000</f>
        <v>19000</v>
      </c>
    </row>
    <row r="93" spans="1:9" ht="12" customHeight="1" x14ac:dyDescent="0.25">
      <c r="A93" s="73"/>
      <c r="B93" s="63"/>
      <c r="C93" s="76"/>
      <c r="D93" s="6" t="s">
        <v>39</v>
      </c>
      <c r="E93" s="36">
        <v>48316</v>
      </c>
    </row>
    <row r="94" spans="1:9" ht="13.8" customHeight="1" thickBot="1" x14ac:dyDescent="0.3">
      <c r="A94" s="74"/>
      <c r="B94" s="22" t="s">
        <v>22</v>
      </c>
      <c r="C94" s="23"/>
      <c r="D94" s="24"/>
      <c r="E94" s="44">
        <f>SUBTOTAL(9,E91:E93)</f>
        <v>1441742</v>
      </c>
    </row>
    <row r="95" spans="1:9" x14ac:dyDescent="0.25">
      <c r="A95" s="72" t="s">
        <v>128</v>
      </c>
      <c r="B95" s="71" t="s">
        <v>64</v>
      </c>
      <c r="C95" s="71" t="s">
        <v>45</v>
      </c>
      <c r="D95" s="8" t="s">
        <v>1</v>
      </c>
      <c r="E95" s="35">
        <f>742151</f>
        <v>742151</v>
      </c>
    </row>
    <row r="96" spans="1:9" ht="12" customHeight="1" x14ac:dyDescent="0.25">
      <c r="A96" s="73"/>
      <c r="B96" s="63"/>
      <c r="C96" s="63"/>
      <c r="D96" s="6" t="s">
        <v>4</v>
      </c>
      <c r="E96" s="36">
        <f>72920+330000</f>
        <v>402920</v>
      </c>
      <c r="I96" s="45"/>
    </row>
    <row r="97" spans="1:9" ht="13.8" customHeight="1" thickBot="1" x14ac:dyDescent="0.3">
      <c r="A97" s="74"/>
      <c r="B97" s="22" t="s">
        <v>22</v>
      </c>
      <c r="C97" s="23"/>
      <c r="D97" s="24"/>
      <c r="E97" s="44">
        <f>SUBTOTAL(9,E95:E96)</f>
        <v>1145071</v>
      </c>
      <c r="I97" s="45"/>
    </row>
    <row r="98" spans="1:9" ht="12" customHeight="1" x14ac:dyDescent="0.25">
      <c r="A98" s="72" t="s">
        <v>129</v>
      </c>
      <c r="B98" s="71" t="s">
        <v>65</v>
      </c>
      <c r="C98" s="71" t="s">
        <v>45</v>
      </c>
      <c r="D98" s="8" t="s">
        <v>1</v>
      </c>
      <c r="E98" s="35">
        <f>91067</f>
        <v>91067</v>
      </c>
    </row>
    <row r="99" spans="1:9" ht="12" customHeight="1" x14ac:dyDescent="0.25">
      <c r="A99" s="73"/>
      <c r="B99" s="63"/>
      <c r="C99" s="63"/>
      <c r="D99" s="6" t="s">
        <v>4</v>
      </c>
      <c r="E99" s="36">
        <f>1680+3400</f>
        <v>5080</v>
      </c>
    </row>
    <row r="100" spans="1:9" ht="13.8" customHeight="1" thickBot="1" x14ac:dyDescent="0.3">
      <c r="A100" s="74"/>
      <c r="B100" s="22" t="s">
        <v>22</v>
      </c>
      <c r="C100" s="23"/>
      <c r="D100" s="24"/>
      <c r="E100" s="44">
        <f>SUBTOTAL(9,E98:E99)</f>
        <v>96147</v>
      </c>
    </row>
    <row r="101" spans="1:9" s="32" customFormat="1" x14ac:dyDescent="0.25">
      <c r="A101" s="77" t="s">
        <v>130</v>
      </c>
      <c r="B101" s="75" t="s">
        <v>71</v>
      </c>
      <c r="C101" s="75" t="s">
        <v>46</v>
      </c>
      <c r="D101" s="29" t="s">
        <v>1</v>
      </c>
      <c r="E101" s="37">
        <f>441412</f>
        <v>441412</v>
      </c>
    </row>
    <row r="102" spans="1:9" s="32" customFormat="1" ht="12" customHeight="1" x14ac:dyDescent="0.25">
      <c r="A102" s="79"/>
      <c r="B102" s="94"/>
      <c r="C102" s="94"/>
      <c r="D102" s="25" t="s">
        <v>4</v>
      </c>
      <c r="E102" s="42">
        <f>14000</f>
        <v>14000</v>
      </c>
    </row>
    <row r="103" spans="1:9" s="32" customFormat="1" ht="12" customHeight="1" x14ac:dyDescent="0.25">
      <c r="A103" s="79"/>
      <c r="B103" s="94"/>
      <c r="C103" s="94"/>
      <c r="D103" s="33" t="s">
        <v>3</v>
      </c>
      <c r="E103" s="39">
        <v>1758264.67</v>
      </c>
    </row>
    <row r="104" spans="1:9" s="32" customFormat="1" ht="12" customHeight="1" x14ac:dyDescent="0.25">
      <c r="A104" s="79"/>
      <c r="B104" s="76"/>
      <c r="C104" s="76"/>
      <c r="D104" s="33" t="s">
        <v>47</v>
      </c>
      <c r="E104" s="39">
        <v>17217</v>
      </c>
    </row>
    <row r="105" spans="1:9" s="32" customFormat="1" ht="13.8" customHeight="1" thickBot="1" x14ac:dyDescent="0.3">
      <c r="A105" s="78"/>
      <c r="B105" s="22" t="s">
        <v>22</v>
      </c>
      <c r="C105" s="23"/>
      <c r="D105" s="24"/>
      <c r="E105" s="44">
        <f>SUBTOTAL(9,E101:E104)</f>
        <v>2230893.67</v>
      </c>
    </row>
    <row r="106" spans="1:9" s="32" customFormat="1" x14ac:dyDescent="0.25">
      <c r="A106" s="77" t="s">
        <v>131</v>
      </c>
      <c r="B106" s="75" t="s">
        <v>72</v>
      </c>
      <c r="C106" s="75" t="s">
        <v>46</v>
      </c>
      <c r="D106" s="29" t="s">
        <v>1</v>
      </c>
      <c r="E106" s="37">
        <f>530403</f>
        <v>530403</v>
      </c>
    </row>
    <row r="107" spans="1:9" s="32" customFormat="1" ht="12" customHeight="1" x14ac:dyDescent="0.25">
      <c r="A107" s="79"/>
      <c r="B107" s="94"/>
      <c r="C107" s="94"/>
      <c r="D107" s="25" t="s">
        <v>4</v>
      </c>
      <c r="E107" s="42">
        <f>5700</f>
        <v>5700</v>
      </c>
    </row>
    <row r="108" spans="1:9" s="32" customFormat="1" ht="12" customHeight="1" x14ac:dyDescent="0.25">
      <c r="A108" s="79"/>
      <c r="B108" s="94"/>
      <c r="C108" s="94"/>
      <c r="D108" s="33" t="s">
        <v>3</v>
      </c>
      <c r="E108" s="39">
        <f>2722395.6-100000</f>
        <v>2622395.6</v>
      </c>
    </row>
    <row r="109" spans="1:9" s="32" customFormat="1" ht="13.8" customHeight="1" thickBot="1" x14ac:dyDescent="0.3">
      <c r="A109" s="78"/>
      <c r="B109" s="22" t="s">
        <v>22</v>
      </c>
      <c r="C109" s="23"/>
      <c r="D109" s="24"/>
      <c r="E109" s="44">
        <f>SUBTOTAL(9,E106:E108)</f>
        <v>3158498.6</v>
      </c>
    </row>
    <row r="110" spans="1:9" s="32" customFormat="1" ht="12" customHeight="1" x14ac:dyDescent="0.25">
      <c r="A110" s="77" t="s">
        <v>132</v>
      </c>
      <c r="B110" s="75" t="s">
        <v>73</v>
      </c>
      <c r="C110" s="75" t="s">
        <v>46</v>
      </c>
      <c r="D110" s="29" t="s">
        <v>1</v>
      </c>
      <c r="E110" s="37">
        <f>549160+196910</f>
        <v>746070</v>
      </c>
    </row>
    <row r="111" spans="1:9" s="32" customFormat="1" ht="12" customHeight="1" x14ac:dyDescent="0.25">
      <c r="A111" s="79"/>
      <c r="B111" s="94"/>
      <c r="C111" s="94"/>
      <c r="D111" s="25" t="s">
        <v>4</v>
      </c>
      <c r="E111" s="42">
        <f>3190+50500+35500</f>
        <v>89190</v>
      </c>
    </row>
    <row r="112" spans="1:9" s="32" customFormat="1" ht="12" customHeight="1" x14ac:dyDescent="0.25">
      <c r="A112" s="79"/>
      <c r="B112" s="94"/>
      <c r="C112" s="94"/>
      <c r="D112" s="33" t="s">
        <v>3</v>
      </c>
      <c r="E112" s="39">
        <f>1477932.4+179861.2</f>
        <v>1657793.5999999999</v>
      </c>
    </row>
    <row r="113" spans="1:5" s="32" customFormat="1" ht="12" customHeight="1" x14ac:dyDescent="0.25">
      <c r="A113" s="79"/>
      <c r="B113" s="76"/>
      <c r="C113" s="76"/>
      <c r="D113" s="59" t="s">
        <v>47</v>
      </c>
      <c r="E113" s="60">
        <v>18506</v>
      </c>
    </row>
    <row r="114" spans="1:5" s="32" customFormat="1" ht="13.8" customHeight="1" thickBot="1" x14ac:dyDescent="0.3">
      <c r="A114" s="78"/>
      <c r="B114" s="22" t="s">
        <v>22</v>
      </c>
      <c r="C114" s="23"/>
      <c r="D114" s="24"/>
      <c r="E114" s="44">
        <f>SUBTOTAL(9,E110:E113)</f>
        <v>2511559.5999999996</v>
      </c>
    </row>
    <row r="115" spans="1:5" s="32" customFormat="1" x14ac:dyDescent="0.25">
      <c r="A115" s="77" t="s">
        <v>133</v>
      </c>
      <c r="B115" s="75" t="s">
        <v>74</v>
      </c>
      <c r="C115" s="75" t="s">
        <v>46</v>
      </c>
      <c r="D115" s="29" t="s">
        <v>1</v>
      </c>
      <c r="E115" s="37">
        <f>477676+308802</f>
        <v>786478</v>
      </c>
    </row>
    <row r="116" spans="1:5" s="32" customFormat="1" ht="12" customHeight="1" x14ac:dyDescent="0.25">
      <c r="A116" s="79"/>
      <c r="B116" s="94"/>
      <c r="C116" s="94"/>
      <c r="D116" s="25" t="s">
        <v>4</v>
      </c>
      <c r="E116" s="42">
        <f>960+3000+51000</f>
        <v>54960</v>
      </c>
    </row>
    <row r="117" spans="1:5" s="32" customFormat="1" ht="12" customHeight="1" x14ac:dyDescent="0.25">
      <c r="A117" s="79"/>
      <c r="B117" s="76"/>
      <c r="C117" s="76"/>
      <c r="D117" s="33" t="s">
        <v>3</v>
      </c>
      <c r="E117" s="39">
        <f>1185733.2+361864.5</f>
        <v>1547597.7</v>
      </c>
    </row>
    <row r="118" spans="1:5" s="32" customFormat="1" ht="13.8" customHeight="1" thickBot="1" x14ac:dyDescent="0.3">
      <c r="A118" s="78"/>
      <c r="B118" s="22" t="s">
        <v>22</v>
      </c>
      <c r="C118" s="23"/>
      <c r="D118" s="24"/>
      <c r="E118" s="44">
        <f>SUBTOTAL(9,E115:E117)</f>
        <v>2389035.7000000002</v>
      </c>
    </row>
    <row r="119" spans="1:5" s="32" customFormat="1" ht="12" customHeight="1" x14ac:dyDescent="0.25">
      <c r="A119" s="77" t="s">
        <v>134</v>
      </c>
      <c r="B119" s="75" t="s">
        <v>75</v>
      </c>
      <c r="C119" s="75" t="s">
        <v>46</v>
      </c>
      <c r="D119" s="29" t="s">
        <v>1</v>
      </c>
      <c r="E119" s="37">
        <f>615775+156962</f>
        <v>772737</v>
      </c>
    </row>
    <row r="120" spans="1:5" s="32" customFormat="1" ht="12" customHeight="1" x14ac:dyDescent="0.25">
      <c r="A120" s="79"/>
      <c r="B120" s="94"/>
      <c r="C120" s="94"/>
      <c r="D120" s="25" t="s">
        <v>4</v>
      </c>
      <c r="E120" s="42">
        <f>8390+45000+7700</f>
        <v>61090</v>
      </c>
    </row>
    <row r="121" spans="1:5" s="32" customFormat="1" ht="12" customHeight="1" x14ac:dyDescent="0.25">
      <c r="A121" s="79"/>
      <c r="B121" s="76"/>
      <c r="C121" s="76"/>
      <c r="D121" s="33" t="s">
        <v>3</v>
      </c>
      <c r="E121" s="39">
        <f>1706291.8+118204</f>
        <v>1824495.8</v>
      </c>
    </row>
    <row r="122" spans="1:5" s="32" customFormat="1" ht="13.8" customHeight="1" thickBot="1" x14ac:dyDescent="0.3">
      <c r="A122" s="78"/>
      <c r="B122" s="22" t="s">
        <v>22</v>
      </c>
      <c r="C122" s="23"/>
      <c r="D122" s="24"/>
      <c r="E122" s="44">
        <f>SUBTOTAL(9,E119:E121)</f>
        <v>2658322.7999999998</v>
      </c>
    </row>
    <row r="123" spans="1:5" s="32" customFormat="1" x14ac:dyDescent="0.25">
      <c r="A123" s="77" t="s">
        <v>135</v>
      </c>
      <c r="B123" s="75" t="s">
        <v>76</v>
      </c>
      <c r="C123" s="75" t="s">
        <v>46</v>
      </c>
      <c r="D123" s="29" t="s">
        <v>1</v>
      </c>
      <c r="E123" s="37">
        <f>267752+222785</f>
        <v>490537</v>
      </c>
    </row>
    <row r="124" spans="1:5" s="32" customFormat="1" ht="12" customHeight="1" x14ac:dyDescent="0.25">
      <c r="A124" s="79"/>
      <c r="B124" s="94"/>
      <c r="C124" s="94"/>
      <c r="D124" s="33" t="s">
        <v>4</v>
      </c>
      <c r="E124" s="39">
        <f>270+2000+25000</f>
        <v>27270</v>
      </c>
    </row>
    <row r="125" spans="1:5" s="32" customFormat="1" ht="12" customHeight="1" x14ac:dyDescent="0.25">
      <c r="A125" s="79"/>
      <c r="B125" s="76"/>
      <c r="C125" s="76"/>
      <c r="D125" s="25" t="s">
        <v>3</v>
      </c>
      <c r="E125" s="42">
        <f>1005357.1+191351.2</f>
        <v>1196708.3</v>
      </c>
    </row>
    <row r="126" spans="1:5" s="32" customFormat="1" ht="13.8" customHeight="1" thickBot="1" x14ac:dyDescent="0.3">
      <c r="A126" s="78"/>
      <c r="B126" s="22" t="s">
        <v>22</v>
      </c>
      <c r="C126" s="23"/>
      <c r="D126" s="24"/>
      <c r="E126" s="44">
        <f>SUBTOTAL(9,E123:E125)</f>
        <v>1714515.3</v>
      </c>
    </row>
    <row r="127" spans="1:5" s="32" customFormat="1" ht="12" customHeight="1" x14ac:dyDescent="0.25">
      <c r="A127" s="77" t="s">
        <v>136</v>
      </c>
      <c r="B127" s="75" t="s">
        <v>77</v>
      </c>
      <c r="C127" s="75" t="s">
        <v>46</v>
      </c>
      <c r="D127" s="29" t="s">
        <v>1</v>
      </c>
      <c r="E127" s="37">
        <f>414049</f>
        <v>414049</v>
      </c>
    </row>
    <row r="128" spans="1:5" s="32" customFormat="1" ht="12" customHeight="1" x14ac:dyDescent="0.25">
      <c r="A128" s="79"/>
      <c r="B128" s="94"/>
      <c r="C128" s="94"/>
      <c r="D128" s="25" t="s">
        <v>4</v>
      </c>
      <c r="E128" s="42">
        <f>1520+25000</f>
        <v>26520</v>
      </c>
    </row>
    <row r="129" spans="1:5" s="32" customFormat="1" ht="12" customHeight="1" x14ac:dyDescent="0.25">
      <c r="A129" s="79"/>
      <c r="B129" s="76"/>
      <c r="C129" s="76"/>
      <c r="D129" s="33" t="s">
        <v>3</v>
      </c>
      <c r="E129" s="39">
        <f>699757.1</f>
        <v>699757.1</v>
      </c>
    </row>
    <row r="130" spans="1:5" s="32" customFormat="1" ht="13.8" customHeight="1" thickBot="1" x14ac:dyDescent="0.3">
      <c r="A130" s="78"/>
      <c r="B130" s="22" t="s">
        <v>22</v>
      </c>
      <c r="C130" s="23"/>
      <c r="D130" s="24"/>
      <c r="E130" s="44">
        <f>SUBTOTAL(9,E127:E129)</f>
        <v>1140326.1000000001</v>
      </c>
    </row>
    <row r="131" spans="1:5" s="32" customFormat="1" ht="12" customHeight="1" x14ac:dyDescent="0.25">
      <c r="A131" s="77" t="s">
        <v>137</v>
      </c>
      <c r="B131" s="75" t="s">
        <v>78</v>
      </c>
      <c r="C131" s="75" t="s">
        <v>46</v>
      </c>
      <c r="D131" s="29" t="s">
        <v>1</v>
      </c>
      <c r="E131" s="37">
        <f>413050</f>
        <v>413050</v>
      </c>
    </row>
    <row r="132" spans="1:5" s="32" customFormat="1" ht="12" customHeight="1" x14ac:dyDescent="0.25">
      <c r="A132" s="79"/>
      <c r="B132" s="94"/>
      <c r="C132" s="94"/>
      <c r="D132" s="25" t="s">
        <v>4</v>
      </c>
      <c r="E132" s="42">
        <f>1460+23400</f>
        <v>24860</v>
      </c>
    </row>
    <row r="133" spans="1:5" s="32" customFormat="1" ht="12" customHeight="1" x14ac:dyDescent="0.25">
      <c r="A133" s="79"/>
      <c r="B133" s="76"/>
      <c r="C133" s="76"/>
      <c r="D133" s="33" t="s">
        <v>3</v>
      </c>
      <c r="E133" s="39">
        <f>779937.3</f>
        <v>779937.3</v>
      </c>
    </row>
    <row r="134" spans="1:5" s="32" customFormat="1" ht="13.8" customHeight="1" thickBot="1" x14ac:dyDescent="0.3">
      <c r="A134" s="78"/>
      <c r="B134" s="22" t="s">
        <v>22</v>
      </c>
      <c r="C134" s="23"/>
      <c r="D134" s="24"/>
      <c r="E134" s="44">
        <f>SUBTOTAL(9,E131:E133)</f>
        <v>1217847.3</v>
      </c>
    </row>
    <row r="135" spans="1:5" s="32" customFormat="1" ht="12" customHeight="1" x14ac:dyDescent="0.25">
      <c r="A135" s="77" t="s">
        <v>138</v>
      </c>
      <c r="B135" s="75" t="s">
        <v>79</v>
      </c>
      <c r="C135" s="75" t="s">
        <v>46</v>
      </c>
      <c r="D135" s="29" t="s">
        <v>1</v>
      </c>
      <c r="E135" s="37">
        <f>330048</f>
        <v>330048</v>
      </c>
    </row>
    <row r="136" spans="1:5" s="32" customFormat="1" ht="12" customHeight="1" x14ac:dyDescent="0.25">
      <c r="A136" s="79"/>
      <c r="B136" s="94"/>
      <c r="C136" s="94"/>
      <c r="D136" s="25" t="s">
        <v>4</v>
      </c>
      <c r="E136" s="42">
        <f>20800</f>
        <v>20800</v>
      </c>
    </row>
    <row r="137" spans="1:5" s="32" customFormat="1" ht="12" customHeight="1" x14ac:dyDescent="0.25">
      <c r="A137" s="79"/>
      <c r="B137" s="76"/>
      <c r="C137" s="76"/>
      <c r="D137" s="33" t="s">
        <v>3</v>
      </c>
      <c r="E137" s="39">
        <f>644227.1</f>
        <v>644227.1</v>
      </c>
    </row>
    <row r="138" spans="1:5" s="32" customFormat="1" ht="13.8" customHeight="1" thickBot="1" x14ac:dyDescent="0.3">
      <c r="A138" s="78"/>
      <c r="B138" s="22" t="s">
        <v>22</v>
      </c>
      <c r="C138" s="23"/>
      <c r="D138" s="24"/>
      <c r="E138" s="44">
        <f>SUBTOTAL(9,E135:E137)</f>
        <v>995075.1</v>
      </c>
    </row>
    <row r="139" spans="1:5" s="32" customFormat="1" x14ac:dyDescent="0.25">
      <c r="A139" s="77" t="s">
        <v>139</v>
      </c>
      <c r="B139" s="75" t="s">
        <v>80</v>
      </c>
      <c r="C139" s="75" t="s">
        <v>46</v>
      </c>
      <c r="D139" s="29" t="s">
        <v>1</v>
      </c>
      <c r="E139" s="37">
        <f>234049</f>
        <v>234049</v>
      </c>
    </row>
    <row r="140" spans="1:5" s="32" customFormat="1" ht="12" customHeight="1" x14ac:dyDescent="0.25">
      <c r="A140" s="79"/>
      <c r="B140" s="94"/>
      <c r="C140" s="94"/>
      <c r="D140" s="25" t="s">
        <v>4</v>
      </c>
      <c r="E140" s="42">
        <f>6040+25600</f>
        <v>31640</v>
      </c>
    </row>
    <row r="141" spans="1:5" s="32" customFormat="1" ht="12" customHeight="1" x14ac:dyDescent="0.25">
      <c r="A141" s="79"/>
      <c r="B141" s="76"/>
      <c r="C141" s="76"/>
      <c r="D141" s="33" t="s">
        <v>3</v>
      </c>
      <c r="E141" s="39">
        <f>381179.3</f>
        <v>381179.3</v>
      </c>
    </row>
    <row r="142" spans="1:5" s="32" customFormat="1" ht="13.8" customHeight="1" thickBot="1" x14ac:dyDescent="0.3">
      <c r="A142" s="78"/>
      <c r="B142" s="22" t="s">
        <v>22</v>
      </c>
      <c r="C142" s="23"/>
      <c r="D142" s="24"/>
      <c r="E142" s="44">
        <f>SUBTOTAL(9,E139:E141)</f>
        <v>646868.30000000005</v>
      </c>
    </row>
    <row r="143" spans="1:5" s="32" customFormat="1" ht="12" customHeight="1" x14ac:dyDescent="0.25">
      <c r="A143" s="77" t="s">
        <v>140</v>
      </c>
      <c r="B143" s="75" t="s">
        <v>81</v>
      </c>
      <c r="C143" s="75" t="s">
        <v>46</v>
      </c>
      <c r="D143" s="29" t="s">
        <v>1</v>
      </c>
      <c r="E143" s="37">
        <f>732044</f>
        <v>732044</v>
      </c>
    </row>
    <row r="144" spans="1:5" s="32" customFormat="1" ht="12" customHeight="1" x14ac:dyDescent="0.25">
      <c r="A144" s="79"/>
      <c r="B144" s="94"/>
      <c r="C144" s="94"/>
      <c r="D144" s="25" t="s">
        <v>4</v>
      </c>
      <c r="E144" s="42">
        <f>11320+90000</f>
        <v>101320</v>
      </c>
    </row>
    <row r="145" spans="1:5" s="32" customFormat="1" ht="12" customHeight="1" x14ac:dyDescent="0.25">
      <c r="A145" s="79"/>
      <c r="B145" s="94"/>
      <c r="C145" s="94"/>
      <c r="D145" s="33" t="s">
        <v>3</v>
      </c>
      <c r="E145" s="39">
        <f>1397702.8</f>
        <v>1397702.8</v>
      </c>
    </row>
    <row r="146" spans="1:5" s="32" customFormat="1" ht="12" customHeight="1" x14ac:dyDescent="0.25">
      <c r="A146" s="79"/>
      <c r="B146" s="76"/>
      <c r="C146" s="76"/>
      <c r="D146" s="59" t="s">
        <v>47</v>
      </c>
      <c r="E146" s="60">
        <v>18634</v>
      </c>
    </row>
    <row r="147" spans="1:5" s="32" customFormat="1" ht="13.8" customHeight="1" thickBot="1" x14ac:dyDescent="0.3">
      <c r="A147" s="78"/>
      <c r="B147" s="22" t="s">
        <v>22</v>
      </c>
      <c r="C147" s="23"/>
      <c r="D147" s="24"/>
      <c r="E147" s="44">
        <f>SUBTOTAL(9,E143:E146)</f>
        <v>2249700.7999999998</v>
      </c>
    </row>
    <row r="148" spans="1:5" s="32" customFormat="1" ht="12" customHeight="1" x14ac:dyDescent="0.25">
      <c r="A148" s="77" t="s">
        <v>141</v>
      </c>
      <c r="B148" s="75" t="s">
        <v>82</v>
      </c>
      <c r="C148" s="75" t="s">
        <v>46</v>
      </c>
      <c r="D148" s="29" t="s">
        <v>1</v>
      </c>
      <c r="E148" s="37">
        <f>518199</f>
        <v>518199</v>
      </c>
    </row>
    <row r="149" spans="1:5" s="32" customFormat="1" ht="12" customHeight="1" x14ac:dyDescent="0.25">
      <c r="A149" s="79"/>
      <c r="B149" s="94"/>
      <c r="C149" s="94"/>
      <c r="D149" s="33" t="s">
        <v>4</v>
      </c>
      <c r="E149" s="39">
        <f>960+101500</f>
        <v>102460</v>
      </c>
    </row>
    <row r="150" spans="1:5" s="32" customFormat="1" ht="12" customHeight="1" x14ac:dyDescent="0.25">
      <c r="A150" s="79"/>
      <c r="B150" s="76"/>
      <c r="C150" s="76"/>
      <c r="D150" s="25" t="s">
        <v>3</v>
      </c>
      <c r="E150" s="42">
        <f>523980.6</f>
        <v>523980.6</v>
      </c>
    </row>
    <row r="151" spans="1:5" s="32" customFormat="1" ht="13.8" customHeight="1" thickBot="1" x14ac:dyDescent="0.3">
      <c r="A151" s="78"/>
      <c r="B151" s="22" t="s">
        <v>22</v>
      </c>
      <c r="C151" s="23"/>
      <c r="D151" s="24"/>
      <c r="E151" s="44">
        <f>SUBTOTAL(9,E148:E150)</f>
        <v>1144639.6000000001</v>
      </c>
    </row>
    <row r="152" spans="1:5" s="32" customFormat="1" ht="12" customHeight="1" x14ac:dyDescent="0.25">
      <c r="A152" s="77" t="s">
        <v>142</v>
      </c>
      <c r="B152" s="75" t="s">
        <v>83</v>
      </c>
      <c r="C152" s="75" t="s">
        <v>46</v>
      </c>
      <c r="D152" s="29" t="s">
        <v>1</v>
      </c>
      <c r="E152" s="37">
        <f>579328</f>
        <v>579328</v>
      </c>
    </row>
    <row r="153" spans="1:5" s="32" customFormat="1" ht="12" customHeight="1" x14ac:dyDescent="0.25">
      <c r="A153" s="79"/>
      <c r="B153" s="94"/>
      <c r="C153" s="94"/>
      <c r="D153" s="33" t="s">
        <v>4</v>
      </c>
      <c r="E153" s="39">
        <f>7680+116100</f>
        <v>123780</v>
      </c>
    </row>
    <row r="154" spans="1:5" s="32" customFormat="1" ht="12" customHeight="1" x14ac:dyDescent="0.25">
      <c r="A154" s="79"/>
      <c r="B154" s="76"/>
      <c r="C154" s="76"/>
      <c r="D154" s="33" t="s">
        <v>3</v>
      </c>
      <c r="E154" s="39">
        <f>744194.7</f>
        <v>744194.7</v>
      </c>
    </row>
    <row r="155" spans="1:5" s="32" customFormat="1" ht="13.8" customHeight="1" thickBot="1" x14ac:dyDescent="0.3">
      <c r="A155" s="78"/>
      <c r="B155" s="22" t="s">
        <v>22</v>
      </c>
      <c r="C155" s="23"/>
      <c r="D155" s="24"/>
      <c r="E155" s="44">
        <f>SUBTOTAL(9,E152:E154)</f>
        <v>1447302.7</v>
      </c>
    </row>
    <row r="156" spans="1:5" s="32" customFormat="1" ht="12" customHeight="1" x14ac:dyDescent="0.25">
      <c r="A156" s="77" t="s">
        <v>143</v>
      </c>
      <c r="B156" s="75" t="s">
        <v>84</v>
      </c>
      <c r="C156" s="75" t="s">
        <v>46</v>
      </c>
      <c r="D156" s="29" t="s">
        <v>1</v>
      </c>
      <c r="E156" s="37">
        <f>574289</f>
        <v>574289</v>
      </c>
    </row>
    <row r="157" spans="1:5" s="32" customFormat="1" ht="12" customHeight="1" x14ac:dyDescent="0.25">
      <c r="A157" s="79"/>
      <c r="B157" s="94"/>
      <c r="C157" s="94"/>
      <c r="D157" s="33" t="s">
        <v>4</v>
      </c>
      <c r="E157" s="42">
        <f>10140+112900</f>
        <v>123040</v>
      </c>
    </row>
    <row r="158" spans="1:5" s="32" customFormat="1" ht="12" customHeight="1" x14ac:dyDescent="0.25">
      <c r="A158" s="79"/>
      <c r="B158" s="76"/>
      <c r="C158" s="76"/>
      <c r="D158" s="33" t="s">
        <v>3</v>
      </c>
      <c r="E158" s="39">
        <f>716428.7</f>
        <v>716428.7</v>
      </c>
    </row>
    <row r="159" spans="1:5" s="32" customFormat="1" ht="13.8" customHeight="1" thickBot="1" x14ac:dyDescent="0.3">
      <c r="A159" s="78"/>
      <c r="B159" s="22" t="s">
        <v>22</v>
      </c>
      <c r="C159" s="23"/>
      <c r="D159" s="24"/>
      <c r="E159" s="44">
        <f>SUBTOTAL(9,E156:E158)</f>
        <v>1413757.7</v>
      </c>
    </row>
    <row r="160" spans="1:5" s="32" customFormat="1" ht="12" customHeight="1" x14ac:dyDescent="0.25">
      <c r="A160" s="77" t="s">
        <v>144</v>
      </c>
      <c r="B160" s="75" t="s">
        <v>85</v>
      </c>
      <c r="C160" s="75" t="s">
        <v>46</v>
      </c>
      <c r="D160" s="29" t="s">
        <v>1</v>
      </c>
      <c r="E160" s="37">
        <f>390432</f>
        <v>390432</v>
      </c>
    </row>
    <row r="161" spans="1:5" s="32" customFormat="1" ht="12" customHeight="1" x14ac:dyDescent="0.25">
      <c r="A161" s="79"/>
      <c r="B161" s="94"/>
      <c r="C161" s="94"/>
      <c r="D161" s="33" t="s">
        <v>4</v>
      </c>
      <c r="E161" s="42">
        <f>68000</f>
        <v>68000</v>
      </c>
    </row>
    <row r="162" spans="1:5" s="32" customFormat="1" ht="12" customHeight="1" x14ac:dyDescent="0.25">
      <c r="A162" s="79"/>
      <c r="B162" s="76"/>
      <c r="C162" s="76"/>
      <c r="D162" s="33" t="s">
        <v>3</v>
      </c>
      <c r="E162" s="39">
        <f>615734.3</f>
        <v>615734.30000000005</v>
      </c>
    </row>
    <row r="163" spans="1:5" s="32" customFormat="1" ht="13.8" customHeight="1" thickBot="1" x14ac:dyDescent="0.3">
      <c r="A163" s="78"/>
      <c r="B163" s="22" t="s">
        <v>22</v>
      </c>
      <c r="C163" s="23"/>
      <c r="D163" s="24"/>
      <c r="E163" s="44">
        <f>SUBTOTAL(9,E160:E162)</f>
        <v>1074166.3</v>
      </c>
    </row>
    <row r="164" spans="1:5" s="32" customFormat="1" x14ac:dyDescent="0.25">
      <c r="A164" s="77" t="s">
        <v>145</v>
      </c>
      <c r="B164" s="75" t="s">
        <v>86</v>
      </c>
      <c r="C164" s="75" t="s">
        <v>46</v>
      </c>
      <c r="D164" s="29" t="s">
        <v>1</v>
      </c>
      <c r="E164" s="37">
        <f>558361</f>
        <v>558361</v>
      </c>
    </row>
    <row r="165" spans="1:5" s="32" customFormat="1" ht="12" customHeight="1" x14ac:dyDescent="0.25">
      <c r="A165" s="79"/>
      <c r="B165" s="94"/>
      <c r="C165" s="94"/>
      <c r="D165" s="33" t="s">
        <v>4</v>
      </c>
      <c r="E165" s="39">
        <f>4050+34200</f>
        <v>38250</v>
      </c>
    </row>
    <row r="166" spans="1:5" s="32" customFormat="1" ht="12" customHeight="1" x14ac:dyDescent="0.25">
      <c r="A166" s="79"/>
      <c r="B166" s="76"/>
      <c r="C166" s="76"/>
      <c r="D166" s="33" t="s">
        <v>3</v>
      </c>
      <c r="E166" s="42">
        <f>237321</f>
        <v>237321</v>
      </c>
    </row>
    <row r="167" spans="1:5" s="32" customFormat="1" ht="13.8" customHeight="1" thickBot="1" x14ac:dyDescent="0.3">
      <c r="A167" s="78"/>
      <c r="B167" s="22" t="s">
        <v>22</v>
      </c>
      <c r="C167" s="23"/>
      <c r="D167" s="24"/>
      <c r="E167" s="44">
        <f>SUBTOTAL(9,E164:E166)</f>
        <v>833932</v>
      </c>
    </row>
    <row r="168" spans="1:5" s="32" customFormat="1" ht="25.8" customHeight="1" x14ac:dyDescent="0.25">
      <c r="A168" s="77" t="s">
        <v>146</v>
      </c>
      <c r="B168" s="28" t="s">
        <v>110</v>
      </c>
      <c r="C168" s="28" t="s">
        <v>46</v>
      </c>
      <c r="D168" s="29" t="s">
        <v>3</v>
      </c>
      <c r="E168" s="41">
        <f>3029177.6</f>
        <v>3029177.6</v>
      </c>
    </row>
    <row r="169" spans="1:5" s="32" customFormat="1" ht="13.8" customHeight="1" thickBot="1" x14ac:dyDescent="0.3">
      <c r="A169" s="78"/>
      <c r="B169" s="22" t="s">
        <v>22</v>
      </c>
      <c r="C169" s="23"/>
      <c r="D169" s="24"/>
      <c r="E169" s="44">
        <f>SUBTOTAL(9,E168:E168)</f>
        <v>3029177.6</v>
      </c>
    </row>
    <row r="170" spans="1:5" s="32" customFormat="1" ht="12" customHeight="1" x14ac:dyDescent="0.25">
      <c r="A170" s="77" t="s">
        <v>147</v>
      </c>
      <c r="B170" s="75" t="s">
        <v>87</v>
      </c>
      <c r="C170" s="75" t="s">
        <v>46</v>
      </c>
      <c r="D170" s="29" t="s">
        <v>1</v>
      </c>
      <c r="E170" s="37">
        <f>683127+517632</f>
        <v>1200759</v>
      </c>
    </row>
    <row r="171" spans="1:5" s="32" customFormat="1" ht="12" customHeight="1" x14ac:dyDescent="0.25">
      <c r="A171" s="79"/>
      <c r="B171" s="94"/>
      <c r="C171" s="94"/>
      <c r="D171" s="33" t="s">
        <v>4</v>
      </c>
      <c r="E171" s="39">
        <f>82200+18600+342000</f>
        <v>442800</v>
      </c>
    </row>
    <row r="172" spans="1:5" s="32" customFormat="1" ht="12" customHeight="1" x14ac:dyDescent="0.25">
      <c r="A172" s="79"/>
      <c r="B172" s="76"/>
      <c r="C172" s="76"/>
      <c r="D172" s="33" t="s">
        <v>3</v>
      </c>
      <c r="E172" s="42">
        <f>59304</f>
        <v>59304</v>
      </c>
    </row>
    <row r="173" spans="1:5" s="32" customFormat="1" ht="13.8" customHeight="1" thickBot="1" x14ac:dyDescent="0.3">
      <c r="A173" s="78"/>
      <c r="B173" s="22" t="s">
        <v>22</v>
      </c>
      <c r="C173" s="23"/>
      <c r="D173" s="24"/>
      <c r="E173" s="44">
        <f>SUBTOTAL(9,E170:E172)</f>
        <v>1702863</v>
      </c>
    </row>
    <row r="174" spans="1:5" s="32" customFormat="1" ht="12" customHeight="1" x14ac:dyDescent="0.25">
      <c r="A174" s="77" t="s">
        <v>148</v>
      </c>
      <c r="B174" s="75" t="s">
        <v>88</v>
      </c>
      <c r="C174" s="75" t="s">
        <v>46</v>
      </c>
      <c r="D174" s="29" t="s">
        <v>1</v>
      </c>
      <c r="E174" s="37">
        <f>1169565</f>
        <v>1169565</v>
      </c>
    </row>
    <row r="175" spans="1:5" s="32" customFormat="1" ht="12" customHeight="1" x14ac:dyDescent="0.25">
      <c r="A175" s="79"/>
      <c r="B175" s="94"/>
      <c r="C175" s="94"/>
      <c r="D175" s="33" t="s">
        <v>4</v>
      </c>
      <c r="E175" s="39">
        <f>29590+104000</f>
        <v>133590</v>
      </c>
    </row>
    <row r="176" spans="1:5" s="32" customFormat="1" ht="12" customHeight="1" x14ac:dyDescent="0.25">
      <c r="A176" s="79"/>
      <c r="B176" s="76"/>
      <c r="C176" s="76"/>
      <c r="D176" s="33" t="s">
        <v>3</v>
      </c>
      <c r="E176" s="39">
        <f>40868</f>
        <v>40868</v>
      </c>
    </row>
    <row r="177" spans="1:9" s="32" customFormat="1" ht="13.8" customHeight="1" thickBot="1" x14ac:dyDescent="0.3">
      <c r="A177" s="78"/>
      <c r="B177" s="22" t="s">
        <v>22</v>
      </c>
      <c r="C177" s="23"/>
      <c r="D177" s="24"/>
      <c r="E177" s="44">
        <f>SUBTOTAL(9,E174:E176)</f>
        <v>1344023</v>
      </c>
    </row>
    <row r="178" spans="1:9" s="32" customFormat="1" x14ac:dyDescent="0.25">
      <c r="A178" s="77" t="s">
        <v>149</v>
      </c>
      <c r="B178" s="75" t="s">
        <v>89</v>
      </c>
      <c r="C178" s="75" t="s">
        <v>46</v>
      </c>
      <c r="D178" s="29" t="s">
        <v>1</v>
      </c>
      <c r="E178" s="37">
        <f>393392</f>
        <v>393392</v>
      </c>
      <c r="I178" s="46"/>
    </row>
    <row r="179" spans="1:9" s="32" customFormat="1" ht="12" customHeight="1" x14ac:dyDescent="0.25">
      <c r="A179" s="79"/>
      <c r="B179" s="94"/>
      <c r="C179" s="94"/>
      <c r="D179" s="33" t="s">
        <v>4</v>
      </c>
      <c r="E179" s="39">
        <f>18270+21000</f>
        <v>39270</v>
      </c>
      <c r="I179" s="46"/>
    </row>
    <row r="180" spans="1:9" s="32" customFormat="1" ht="12" customHeight="1" x14ac:dyDescent="0.25">
      <c r="A180" s="79"/>
      <c r="B180" s="76"/>
      <c r="C180" s="76"/>
      <c r="D180" s="33" t="s">
        <v>3</v>
      </c>
      <c r="E180" s="42">
        <f>17899</f>
        <v>17899</v>
      </c>
      <c r="I180" s="46"/>
    </row>
    <row r="181" spans="1:9" s="32" customFormat="1" ht="11.4" customHeight="1" thickBot="1" x14ac:dyDescent="0.3">
      <c r="A181" s="78"/>
      <c r="B181" s="22" t="s">
        <v>22</v>
      </c>
      <c r="C181" s="23"/>
      <c r="D181" s="24"/>
      <c r="E181" s="44">
        <f>SUBTOTAL(9,E178:E180)</f>
        <v>450561</v>
      </c>
    </row>
    <row r="182" spans="1:9" ht="12" customHeight="1" x14ac:dyDescent="0.25">
      <c r="A182" s="72" t="s">
        <v>150</v>
      </c>
      <c r="B182" s="71" t="s">
        <v>66</v>
      </c>
      <c r="C182" s="71" t="s">
        <v>48</v>
      </c>
      <c r="D182" s="8" t="s">
        <v>1</v>
      </c>
      <c r="E182" s="35">
        <f>1142887</f>
        <v>1142887</v>
      </c>
    </row>
    <row r="183" spans="1:9" ht="12" customHeight="1" x14ac:dyDescent="0.25">
      <c r="A183" s="73"/>
      <c r="B183" s="62"/>
      <c r="C183" s="62"/>
      <c r="D183" s="6" t="s">
        <v>4</v>
      </c>
      <c r="E183" s="36">
        <f>63400</f>
        <v>63400</v>
      </c>
    </row>
    <row r="184" spans="1:9" ht="12" customHeight="1" x14ac:dyDescent="0.25">
      <c r="A184" s="73"/>
      <c r="B184" s="63"/>
      <c r="C184" s="63"/>
      <c r="D184" s="6" t="s">
        <v>39</v>
      </c>
      <c r="E184" s="36">
        <f>15600+14348</f>
        <v>29948</v>
      </c>
    </row>
    <row r="185" spans="1:9" ht="13.8" customHeight="1" thickBot="1" x14ac:dyDescent="0.3">
      <c r="A185" s="74"/>
      <c r="B185" s="22" t="s">
        <v>22</v>
      </c>
      <c r="C185" s="23"/>
      <c r="D185" s="24"/>
      <c r="E185" s="44">
        <f>SUBTOTAL(9,E182:E184)</f>
        <v>1236235</v>
      </c>
    </row>
    <row r="186" spans="1:9" x14ac:dyDescent="0.25">
      <c r="A186" s="72" t="s">
        <v>151</v>
      </c>
      <c r="B186" s="71" t="s">
        <v>67</v>
      </c>
      <c r="C186" s="71" t="s">
        <v>48</v>
      </c>
      <c r="D186" s="8" t="s">
        <v>1</v>
      </c>
      <c r="E186" s="35">
        <f>2130030</f>
        <v>2130030</v>
      </c>
    </row>
    <row r="187" spans="1:9" ht="12" customHeight="1" x14ac:dyDescent="0.25">
      <c r="A187" s="73"/>
      <c r="B187" s="62"/>
      <c r="C187" s="62"/>
      <c r="D187" s="6" t="s">
        <v>4</v>
      </c>
      <c r="E187" s="36">
        <f>36970+126000</f>
        <v>162970</v>
      </c>
    </row>
    <row r="188" spans="1:9" ht="12" customHeight="1" x14ac:dyDescent="0.25">
      <c r="A188" s="73"/>
      <c r="B188" s="62"/>
      <c r="C188" s="62"/>
      <c r="D188" s="6" t="s">
        <v>2</v>
      </c>
      <c r="E188" s="36">
        <f>480700</f>
        <v>480700</v>
      </c>
    </row>
    <row r="189" spans="1:9" ht="12" customHeight="1" x14ac:dyDescent="0.25">
      <c r="A189" s="73"/>
      <c r="B189" s="63"/>
      <c r="C189" s="63"/>
      <c r="D189" s="6" t="s">
        <v>39</v>
      </c>
      <c r="E189" s="36">
        <f>59002+41454</f>
        <v>100456</v>
      </c>
    </row>
    <row r="190" spans="1:9" ht="13.8" customHeight="1" thickBot="1" x14ac:dyDescent="0.3">
      <c r="A190" s="74"/>
      <c r="B190" s="22" t="s">
        <v>22</v>
      </c>
      <c r="C190" s="23"/>
      <c r="D190" s="24"/>
      <c r="E190" s="44">
        <f>SUBTOTAL(9,E186:E189)</f>
        <v>2874156</v>
      </c>
    </row>
    <row r="191" spans="1:9" ht="12.6" thickBot="1" x14ac:dyDescent="0.3">
      <c r="A191" s="95" t="s">
        <v>6</v>
      </c>
      <c r="B191" s="96"/>
      <c r="C191" s="97"/>
      <c r="D191" s="11"/>
      <c r="E191" s="40">
        <f>E9+E60+E63+E65+E67+E69+E71+E73+E75+E77+E79+E81+E84+E87+E90+E94+E97+E100+E105+E109+E114+E118+E122+E126+E130+E134+E138+E142+E147+E151+E155+E159+E163+E167+E169+E173+E177+E181+E185+E190</f>
        <v>86949846.769999981</v>
      </c>
    </row>
    <row r="192" spans="1:9" ht="12.6" thickBot="1" x14ac:dyDescent="0.3"/>
    <row r="193" spans="2:5" ht="23.4" thickBot="1" x14ac:dyDescent="0.3">
      <c r="B193" s="14" t="s">
        <v>8</v>
      </c>
      <c r="C193" s="90" t="s">
        <v>0</v>
      </c>
      <c r="D193" s="90"/>
      <c r="E193" s="9" t="s">
        <v>100</v>
      </c>
    </row>
    <row r="194" spans="2:5" x14ac:dyDescent="0.25">
      <c r="B194" s="15" t="s">
        <v>9</v>
      </c>
      <c r="C194" s="98" t="s">
        <v>90</v>
      </c>
      <c r="D194" s="98"/>
      <c r="E194" s="47">
        <f>E9+E14+E63</f>
        <v>8329063</v>
      </c>
    </row>
    <row r="195" spans="2:5" x14ac:dyDescent="0.25">
      <c r="B195" s="16" t="s">
        <v>10</v>
      </c>
      <c r="C195" s="85" t="s">
        <v>91</v>
      </c>
      <c r="D195" s="85"/>
      <c r="E195" s="48">
        <f>E18+E65+E67+E69+E71+E73+E75+E77+E79+E81</f>
        <v>4759868</v>
      </c>
    </row>
    <row r="196" spans="2:5" x14ac:dyDescent="0.25">
      <c r="B196" s="16" t="s">
        <v>11</v>
      </c>
      <c r="C196" s="85" t="s">
        <v>92</v>
      </c>
      <c r="D196" s="85"/>
      <c r="E196" s="48">
        <f>E23</f>
        <v>732482</v>
      </c>
    </row>
    <row r="197" spans="2:5" x14ac:dyDescent="0.25">
      <c r="B197" s="16" t="s">
        <v>12</v>
      </c>
      <c r="C197" s="85" t="s">
        <v>93</v>
      </c>
      <c r="D197" s="85"/>
      <c r="E197" s="48">
        <f>E31</f>
        <v>9804176</v>
      </c>
    </row>
    <row r="198" spans="2:5" x14ac:dyDescent="0.25">
      <c r="B198" s="16" t="s">
        <v>13</v>
      </c>
      <c r="C198" s="85" t="s">
        <v>94</v>
      </c>
      <c r="D198" s="85"/>
      <c r="E198" s="48">
        <f>E36</f>
        <v>9099805</v>
      </c>
    </row>
    <row r="199" spans="2:5" x14ac:dyDescent="0.25">
      <c r="B199" s="16" t="s">
        <v>14</v>
      </c>
      <c r="C199" s="85" t="s">
        <v>16</v>
      </c>
      <c r="D199" s="85"/>
      <c r="E199" s="48">
        <f>E39+E84</f>
        <v>742683</v>
      </c>
    </row>
    <row r="200" spans="2:5" x14ac:dyDescent="0.25">
      <c r="B200" s="16" t="s">
        <v>15</v>
      </c>
      <c r="C200" s="85" t="s">
        <v>95</v>
      </c>
      <c r="D200" s="85"/>
      <c r="E200" s="48">
        <f>E41+E87+E90+E94+E97+E100</f>
        <v>5292875</v>
      </c>
    </row>
    <row r="201" spans="2:5" x14ac:dyDescent="0.25">
      <c r="B201" s="16" t="s">
        <v>17</v>
      </c>
      <c r="C201" s="85" t="s">
        <v>96</v>
      </c>
      <c r="D201" s="85"/>
      <c r="E201" s="48">
        <f>E47+E105+E109+E114+E118+E122+E126+E130+E134+E138+E142+E147+E151+E155+E159+E163+E167+E169+E173+E177+E181</f>
        <v>36488008.770000011</v>
      </c>
    </row>
    <row r="202" spans="2:5" x14ac:dyDescent="0.25">
      <c r="B202" s="16" t="s">
        <v>18</v>
      </c>
      <c r="C202" s="85" t="s">
        <v>97</v>
      </c>
      <c r="D202" s="85"/>
      <c r="E202" s="48">
        <f>E53+E185+E190</f>
        <v>10649886</v>
      </c>
    </row>
    <row r="203" spans="2:5" x14ac:dyDescent="0.25">
      <c r="B203" s="19">
        <v>10</v>
      </c>
      <c r="C203" s="99" t="s">
        <v>98</v>
      </c>
      <c r="D203" s="100"/>
      <c r="E203" s="49">
        <f>E55</f>
        <v>871000</v>
      </c>
    </row>
    <row r="204" spans="2:5" ht="12.6" thickBot="1" x14ac:dyDescent="0.3">
      <c r="B204" s="20">
        <v>11</v>
      </c>
      <c r="C204" s="86" t="s">
        <v>99</v>
      </c>
      <c r="D204" s="86"/>
      <c r="E204" s="50">
        <f>E59</f>
        <v>180000</v>
      </c>
    </row>
    <row r="205" spans="2:5" ht="12.6" thickBot="1" x14ac:dyDescent="0.3">
      <c r="B205" s="87" t="s">
        <v>6</v>
      </c>
      <c r="C205" s="88"/>
      <c r="D205" s="89"/>
      <c r="E205" s="51">
        <f t="shared" ref="E205" si="1">SUBTOTAL(9,E194:E204)</f>
        <v>86949846.770000011</v>
      </c>
    </row>
    <row r="206" spans="2:5" ht="10.95" customHeight="1" thickBot="1" x14ac:dyDescent="0.3"/>
    <row r="207" spans="2:5" ht="23.4" thickBot="1" x14ac:dyDescent="0.3">
      <c r="B207" s="17" t="s">
        <v>70</v>
      </c>
      <c r="C207" s="90" t="s">
        <v>0</v>
      </c>
      <c r="D207" s="90"/>
      <c r="E207" s="18" t="s">
        <v>100</v>
      </c>
    </row>
    <row r="208" spans="2:5" ht="24" customHeight="1" x14ac:dyDescent="0.25">
      <c r="B208" s="52" t="s">
        <v>1</v>
      </c>
      <c r="C208" s="91" t="s">
        <v>101</v>
      </c>
      <c r="D208" s="91"/>
      <c r="E208" s="58">
        <f>E8+E10+E15+E19+E24+E32+E37+E40+E42+E48+E54+E56+E61+E64+E66+E68+E70+E72+E74+E76+E78+E80+E82+E85+E88+E91+E95+E98+E101+E106+E110+E115+E119+E123+E127+E131+E135+E139+E143+E148+E152+E156+E160+E164+E170+E174+E178+E182+E186</f>
        <v>48585140</v>
      </c>
    </row>
    <row r="209" spans="2:5" x14ac:dyDescent="0.25">
      <c r="B209" s="53" t="s">
        <v>4</v>
      </c>
      <c r="C209" s="91" t="s">
        <v>102</v>
      </c>
      <c r="D209" s="91"/>
      <c r="E209" s="56">
        <f>E11+E16+E86+E89+E92+E96+E99+E102+E107+E111+E116+E120+E124+E128+E132+E136+E140+E144+E149+E153+E157+E161+E165+E171+E175+E179+E183+E187</f>
        <v>2426070</v>
      </c>
    </row>
    <row r="210" spans="2:5" ht="24.6" customHeight="1" x14ac:dyDescent="0.25">
      <c r="B210" s="53" t="s">
        <v>2</v>
      </c>
      <c r="C210" s="91" t="s">
        <v>26</v>
      </c>
      <c r="D210" s="91"/>
      <c r="E210" s="56">
        <f>E12+E20+E49+E58+E62+E83+E188</f>
        <v>4810310</v>
      </c>
    </row>
    <row r="211" spans="2:5" x14ac:dyDescent="0.25">
      <c r="B211" s="53" t="s">
        <v>43</v>
      </c>
      <c r="C211" s="64" t="s">
        <v>113</v>
      </c>
      <c r="D211" s="65"/>
      <c r="E211" s="56">
        <f>E35</f>
        <v>2068600</v>
      </c>
    </row>
    <row r="212" spans="2:5" x14ac:dyDescent="0.25">
      <c r="B212" s="53" t="s">
        <v>3</v>
      </c>
      <c r="C212" s="91" t="s">
        <v>103</v>
      </c>
      <c r="D212" s="91"/>
      <c r="E212" s="56">
        <f>E43+E103+E108+E112+E117+E121+E125+E129+E133+E137+E141+E145+E150+E154+E158+E162+E166+E168+E172+E176+E180</f>
        <v>20977407.770000003</v>
      </c>
    </row>
    <row r="213" spans="2:5" x14ac:dyDescent="0.25">
      <c r="B213" s="53" t="s">
        <v>5</v>
      </c>
      <c r="C213" s="91" t="s">
        <v>104</v>
      </c>
      <c r="D213" s="91"/>
      <c r="E213" s="56">
        <f>E21+E28+E29+E44+E45+E50+E51+E93+E184+E189</f>
        <v>2042760</v>
      </c>
    </row>
    <row r="214" spans="2:5" x14ac:dyDescent="0.25">
      <c r="B214" s="53" t="s">
        <v>38</v>
      </c>
      <c r="C214" s="93" t="s">
        <v>25</v>
      </c>
      <c r="D214" s="93"/>
      <c r="E214" s="56">
        <f>E25</f>
        <v>1760000</v>
      </c>
    </row>
    <row r="215" spans="2:5" x14ac:dyDescent="0.25">
      <c r="B215" s="53" t="s">
        <v>47</v>
      </c>
      <c r="C215" s="91" t="s">
        <v>27</v>
      </c>
      <c r="D215" s="91"/>
      <c r="E215" s="56">
        <f>E13+E22+E30+E46+E52+E104+E113+E146</f>
        <v>2772181</v>
      </c>
    </row>
    <row r="216" spans="2:5" ht="24" customHeight="1" x14ac:dyDescent="0.25">
      <c r="B216" s="53" t="s">
        <v>106</v>
      </c>
      <c r="C216" s="91" t="s">
        <v>107</v>
      </c>
      <c r="D216" s="91"/>
      <c r="E216" s="56">
        <f>E17+E27</f>
        <v>475000</v>
      </c>
    </row>
    <row r="217" spans="2:5" x14ac:dyDescent="0.25">
      <c r="B217" s="53" t="s">
        <v>41</v>
      </c>
      <c r="C217" s="91" t="s">
        <v>105</v>
      </c>
      <c r="D217" s="91"/>
      <c r="E217" s="56">
        <f>E33+E57</f>
        <v>327000</v>
      </c>
    </row>
    <row r="218" spans="2:5" x14ac:dyDescent="0.25">
      <c r="B218" s="53" t="s">
        <v>42</v>
      </c>
      <c r="C218" s="91" t="s">
        <v>28</v>
      </c>
      <c r="D218" s="91"/>
      <c r="E218" s="56">
        <f>E34+E38</f>
        <v>273678</v>
      </c>
    </row>
    <row r="219" spans="2:5" ht="25.2" customHeight="1" thickBot="1" x14ac:dyDescent="0.3">
      <c r="B219" s="55" t="s">
        <v>109</v>
      </c>
      <c r="C219" s="92" t="s">
        <v>112</v>
      </c>
      <c r="D219" s="92"/>
      <c r="E219" s="57">
        <f>E26</f>
        <v>431700</v>
      </c>
    </row>
    <row r="220" spans="2:5" ht="12.6" customHeight="1" thickBot="1" x14ac:dyDescent="0.3">
      <c r="B220" s="82" t="s">
        <v>6</v>
      </c>
      <c r="C220" s="83"/>
      <c r="D220" s="84"/>
      <c r="E220" s="54">
        <f>SUBTOTAL(9,E208:E219)</f>
        <v>86949846.770000011</v>
      </c>
    </row>
  </sheetData>
  <mergeCells count="136">
    <mergeCell ref="B143:B146"/>
    <mergeCell ref="C143:C146"/>
    <mergeCell ref="C15:C17"/>
    <mergeCell ref="A168:A169"/>
    <mergeCell ref="C32:C35"/>
    <mergeCell ref="C123:C125"/>
    <mergeCell ref="B127:B129"/>
    <mergeCell ref="A127:A130"/>
    <mergeCell ref="C127:C129"/>
    <mergeCell ref="C131:C133"/>
    <mergeCell ref="A131:A134"/>
    <mergeCell ref="B95:B96"/>
    <mergeCell ref="A95:A97"/>
    <mergeCell ref="C95:C96"/>
    <mergeCell ref="C98:C99"/>
    <mergeCell ref="B98:B99"/>
    <mergeCell ref="A98:A100"/>
    <mergeCell ref="C42:C46"/>
    <mergeCell ref="B10:B59"/>
    <mergeCell ref="C10:C13"/>
    <mergeCell ref="A139:A142"/>
    <mergeCell ref="A76:A77"/>
    <mergeCell ref="A78:A79"/>
    <mergeCell ref="A80:A81"/>
    <mergeCell ref="C178:C180"/>
    <mergeCell ref="C148:C150"/>
    <mergeCell ref="B152:B154"/>
    <mergeCell ref="A152:A155"/>
    <mergeCell ref="C152:C154"/>
    <mergeCell ref="C156:C158"/>
    <mergeCell ref="C160:C162"/>
    <mergeCell ref="C164:C166"/>
    <mergeCell ref="C174:C176"/>
    <mergeCell ref="B156:B158"/>
    <mergeCell ref="A156:A159"/>
    <mergeCell ref="B160:B162"/>
    <mergeCell ref="A160:A163"/>
    <mergeCell ref="C170:C172"/>
    <mergeCell ref="A164:A167"/>
    <mergeCell ref="A170:A173"/>
    <mergeCell ref="A174:A177"/>
    <mergeCell ref="B164:B166"/>
    <mergeCell ref="A119:A122"/>
    <mergeCell ref="B119:B121"/>
    <mergeCell ref="C119:C121"/>
    <mergeCell ref="B123:B125"/>
    <mergeCell ref="A123:A126"/>
    <mergeCell ref="B135:B137"/>
    <mergeCell ref="A135:A138"/>
    <mergeCell ref="C135:C137"/>
    <mergeCell ref="B139:B141"/>
    <mergeCell ref="C139:C141"/>
    <mergeCell ref="B101:B104"/>
    <mergeCell ref="A101:A105"/>
    <mergeCell ref="C101:C104"/>
    <mergeCell ref="A106:A109"/>
    <mergeCell ref="B106:B108"/>
    <mergeCell ref="C106:C108"/>
    <mergeCell ref="A110:A114"/>
    <mergeCell ref="B115:B117"/>
    <mergeCell ref="C115:C117"/>
    <mergeCell ref="A115:A118"/>
    <mergeCell ref="B110:B113"/>
    <mergeCell ref="C110:C113"/>
    <mergeCell ref="A82:A84"/>
    <mergeCell ref="B131:B133"/>
    <mergeCell ref="B91:B93"/>
    <mergeCell ref="A91:A94"/>
    <mergeCell ref="C91:C93"/>
    <mergeCell ref="B82:B83"/>
    <mergeCell ref="C82:C83"/>
    <mergeCell ref="C215:D215"/>
    <mergeCell ref="C216:D216"/>
    <mergeCell ref="A191:C191"/>
    <mergeCell ref="C193:D193"/>
    <mergeCell ref="C194:D194"/>
    <mergeCell ref="A143:A147"/>
    <mergeCell ref="B148:B150"/>
    <mergeCell ref="A148:A151"/>
    <mergeCell ref="A178:A181"/>
    <mergeCell ref="B178:B180"/>
    <mergeCell ref="A186:A190"/>
    <mergeCell ref="B186:B189"/>
    <mergeCell ref="C186:C189"/>
    <mergeCell ref="C182:C184"/>
    <mergeCell ref="B182:B184"/>
    <mergeCell ref="A182:A185"/>
    <mergeCell ref="C203:D203"/>
    <mergeCell ref="C37:C38"/>
    <mergeCell ref="B220:D220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4:D204"/>
    <mergeCell ref="B205:D205"/>
    <mergeCell ref="C207:D207"/>
    <mergeCell ref="C217:D217"/>
    <mergeCell ref="C218:D218"/>
    <mergeCell ref="C219:D219"/>
    <mergeCell ref="C208:D208"/>
    <mergeCell ref="C209:D209"/>
    <mergeCell ref="C210:D210"/>
    <mergeCell ref="C212:D212"/>
    <mergeCell ref="C213:D213"/>
    <mergeCell ref="C214:D214"/>
    <mergeCell ref="B170:B172"/>
    <mergeCell ref="B174:B176"/>
    <mergeCell ref="C56:C58"/>
    <mergeCell ref="C211:D211"/>
    <mergeCell ref="A5:E5"/>
    <mergeCell ref="D1:E3"/>
    <mergeCell ref="A10:A60"/>
    <mergeCell ref="C85:C86"/>
    <mergeCell ref="B85:B86"/>
    <mergeCell ref="A85:A87"/>
    <mergeCell ref="C88:C89"/>
    <mergeCell ref="B88:B89"/>
    <mergeCell ref="A88:A90"/>
    <mergeCell ref="A8:A9"/>
    <mergeCell ref="A64:A65"/>
    <mergeCell ref="A66:A67"/>
    <mergeCell ref="A68:A69"/>
    <mergeCell ref="A70:A71"/>
    <mergeCell ref="A72:A73"/>
    <mergeCell ref="A74:A75"/>
    <mergeCell ref="A61:A63"/>
    <mergeCell ref="B61:B62"/>
    <mergeCell ref="C61:C62"/>
    <mergeCell ref="C48:C52"/>
    <mergeCell ref="C19:C22"/>
    <mergeCell ref="C24:C30"/>
  </mergeCells>
  <conditionalFormatting sqref="E8 E10:E13 E64 E66 E68 E70 E72 E74 E76 E78 E80 E85 E88 E91 E93 E95:E96 E98:E99 E101 E103:E104 E119 E121 E123:E124 E127 E129 E131 E133 E135 E137 E139 E141 E143 E145:E146 E148:E149 E152:E154 E156 E158 E160 E162 E164:E165 E174:E176 E178:E179 E82:E83 E182:E184 E186:E189 E208:E219">
    <cfRule type="cellIs" dxfId="13" priority="24" stopIfTrue="1" operator="equal">
      <formula>0</formula>
    </cfRule>
  </conditionalFormatting>
  <conditionalFormatting sqref="E174:E191 E8:E60 E64:E169">
    <cfRule type="cellIs" dxfId="12" priority="23" stopIfTrue="1" operator="equal">
      <formula>0</formula>
    </cfRule>
  </conditionalFormatting>
  <conditionalFormatting sqref="E37">
    <cfRule type="cellIs" dxfId="11" priority="18" stopIfTrue="1" operator="equal">
      <formula>0</formula>
    </cfRule>
  </conditionalFormatting>
  <conditionalFormatting sqref="E52">
    <cfRule type="cellIs" dxfId="10" priority="17" stopIfTrue="1" operator="equal">
      <formula>0</formula>
    </cfRule>
  </conditionalFormatting>
  <conditionalFormatting sqref="E191">
    <cfRule type="cellIs" dxfId="9" priority="20" stopIfTrue="1" operator="equal">
      <formula>0</formula>
    </cfRule>
  </conditionalFormatting>
  <conditionalFormatting sqref="E194:E205">
    <cfRule type="cellIs" dxfId="8" priority="15" stopIfTrue="1" operator="equal">
      <formula>0</formula>
    </cfRule>
  </conditionalFormatting>
  <conditionalFormatting sqref="E220">
    <cfRule type="cellIs" dxfId="7" priority="13" stopIfTrue="1" operator="equal">
      <formula>0</formula>
    </cfRule>
  </conditionalFormatting>
  <conditionalFormatting sqref="E106 E108">
    <cfRule type="cellIs" dxfId="6" priority="12" stopIfTrue="1" operator="equal">
      <formula>0</formula>
    </cfRule>
  </conditionalFormatting>
  <conditionalFormatting sqref="E110 E112:E113">
    <cfRule type="cellIs" dxfId="5" priority="10" stopIfTrue="1" operator="equal">
      <formula>0</formula>
    </cfRule>
  </conditionalFormatting>
  <conditionalFormatting sqref="E115 E117">
    <cfRule type="cellIs" dxfId="4" priority="8" stopIfTrue="1" operator="equal">
      <formula>0</formula>
    </cfRule>
  </conditionalFormatting>
  <conditionalFormatting sqref="E170:E171">
    <cfRule type="cellIs" dxfId="3" priority="6" stopIfTrue="1" operator="equal">
      <formula>0</formula>
    </cfRule>
  </conditionalFormatting>
  <conditionalFormatting sqref="E170:E173">
    <cfRule type="cellIs" dxfId="2" priority="5" stopIfTrue="1" operator="equal">
      <formula>0</formula>
    </cfRule>
  </conditionalFormatting>
  <conditionalFormatting sqref="E61:E62">
    <cfRule type="cellIs" dxfId="1" priority="4" stopIfTrue="1" operator="equal">
      <formula>0</formula>
    </cfRule>
  </conditionalFormatting>
  <conditionalFormatting sqref="E61:E63">
    <cfRule type="cellIs" dxfId="0" priority="3" stopIfTrue="1" operator="equal">
      <formula>0</formula>
    </cfRule>
  </conditionalFormatting>
  <pageMargins left="0.78740157480314965" right="0.39370078740157483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Alma Rumbutienė</cp:lastModifiedBy>
  <cp:lastPrinted>2024-12-30T14:00:25Z</cp:lastPrinted>
  <dcterms:created xsi:type="dcterms:W3CDTF">2008-12-14T21:40:51Z</dcterms:created>
  <dcterms:modified xsi:type="dcterms:W3CDTF">2025-01-15T12:55:40Z</dcterms:modified>
</cp:coreProperties>
</file>