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edita.samaliene\Documents\2026 m. biudžetas\2026-06-28 T2-\"/>
    </mc:Choice>
  </mc:AlternateContent>
  <xr:revisionPtr revIDLastSave="0" documentId="13_ncr:1_{25EEFB48-84CE-4A0D-848A-4E7CEB5DE0BA}" xr6:coauthVersionLast="47" xr6:coauthVersionMax="47" xr10:uidLastSave="{00000000-0000-0000-0000-000000000000}"/>
  <bookViews>
    <workbookView xWindow="-120" yWindow="-120" windowWidth="38640" windowHeight="21120" activeTab="1" xr2:uid="{00000000-000D-0000-FFFF-FFFF00000000}"/>
  </bookViews>
  <sheets>
    <sheet name="1 priedas" sheetId="1" r:id="rId1"/>
    <sheet name="3 prieda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27" i="2" l="1"/>
  <c r="F239" i="2"/>
  <c r="F225" i="2"/>
  <c r="G92" i="2"/>
  <c r="F93" i="2"/>
  <c r="E93" i="2"/>
  <c r="F242" i="2"/>
  <c r="E242" i="2"/>
  <c r="G108" i="2"/>
  <c r="F109" i="2"/>
  <c r="E109" i="2"/>
  <c r="E239" i="2"/>
  <c r="G107" i="2"/>
  <c r="G96" i="2"/>
  <c r="F97" i="2"/>
  <c r="F226" i="2" s="1"/>
  <c r="E97" i="2"/>
  <c r="F104" i="2"/>
  <c r="F67" i="2"/>
  <c r="F230" i="2" l="1"/>
  <c r="F237" i="2" l="1"/>
  <c r="F28" i="2"/>
  <c r="G27" i="2"/>
  <c r="F36" i="2"/>
  <c r="F223" i="2" s="1"/>
  <c r="F43" i="2"/>
  <c r="F22" i="2"/>
  <c r="F79" i="2"/>
  <c r="F240" i="2"/>
  <c r="E240" i="2"/>
  <c r="F236" i="2"/>
  <c r="F234" i="2"/>
  <c r="F132" i="2"/>
  <c r="D44" i="1"/>
  <c r="G25" i="2"/>
  <c r="G26" i="2"/>
  <c r="F55" i="2"/>
  <c r="G211" i="2"/>
  <c r="G212" i="2"/>
  <c r="F216" i="2"/>
  <c r="F192" i="2"/>
  <c r="F247" i="2" l="1"/>
  <c r="F187" i="2"/>
  <c r="F19" i="2"/>
  <c r="F61" i="2" l="1"/>
  <c r="F228" i="2" s="1"/>
  <c r="G13" i="2"/>
  <c r="G14" i="2"/>
  <c r="G15" i="2"/>
  <c r="G16" i="2"/>
  <c r="G17" i="2"/>
  <c r="G18" i="2"/>
  <c r="G20" i="2"/>
  <c r="G21" i="2"/>
  <c r="G24" i="2"/>
  <c r="G30" i="2"/>
  <c r="G31" i="2"/>
  <c r="G32" i="2"/>
  <c r="G33" i="2"/>
  <c r="G34" i="2"/>
  <c r="G35" i="2"/>
  <c r="G37" i="2"/>
  <c r="G38" i="2"/>
  <c r="G39" i="2"/>
  <c r="G40" i="2"/>
  <c r="G41" i="2"/>
  <c r="G42" i="2"/>
  <c r="G44" i="2"/>
  <c r="G45" i="2"/>
  <c r="G47" i="2"/>
  <c r="G49" i="2"/>
  <c r="G50" i="2"/>
  <c r="G51" i="2"/>
  <c r="G52" i="2"/>
  <c r="G53" i="2"/>
  <c r="G57" i="2"/>
  <c r="G58" i="2"/>
  <c r="G59" i="2"/>
  <c r="G60" i="2"/>
  <c r="G62" i="2"/>
  <c r="G64" i="2"/>
  <c r="G65" i="2"/>
  <c r="G69" i="2"/>
  <c r="G70" i="2"/>
  <c r="G72" i="2"/>
  <c r="G74" i="2"/>
  <c r="G76" i="2"/>
  <c r="G78" i="2"/>
  <c r="G80" i="2"/>
  <c r="G82" i="2"/>
  <c r="G84" i="2"/>
  <c r="G86" i="2"/>
  <c r="G88" i="2"/>
  <c r="G90" i="2"/>
  <c r="G91" i="2"/>
  <c r="G94" i="2"/>
  <c r="G95" i="2"/>
  <c r="G98" i="2"/>
  <c r="G99" i="2"/>
  <c r="G101" i="2"/>
  <c r="G103" i="2"/>
  <c r="G105" i="2"/>
  <c r="G106" i="2"/>
  <c r="G112" i="2"/>
  <c r="G115" i="2"/>
  <c r="G116" i="2"/>
  <c r="G118" i="2"/>
  <c r="G119" i="2"/>
  <c r="G120" i="2"/>
  <c r="G121" i="2"/>
  <c r="G123" i="2"/>
  <c r="G124" i="2"/>
  <c r="G126" i="2"/>
  <c r="G128" i="2"/>
  <c r="G129" i="2"/>
  <c r="G130" i="2"/>
  <c r="G131" i="2"/>
  <c r="G133" i="2"/>
  <c r="G134" i="2"/>
  <c r="G135" i="2"/>
  <c r="G136" i="2"/>
  <c r="G139" i="2"/>
  <c r="G140" i="2"/>
  <c r="G141" i="2"/>
  <c r="G144" i="2"/>
  <c r="G145" i="2"/>
  <c r="G146" i="2"/>
  <c r="G149" i="2"/>
  <c r="G150" i="2"/>
  <c r="G151" i="2"/>
  <c r="G154" i="2"/>
  <c r="G156" i="2"/>
  <c r="G159" i="2"/>
  <c r="G161" i="2"/>
  <c r="G164" i="2"/>
  <c r="G166" i="2"/>
  <c r="G169" i="2"/>
  <c r="G171" i="2"/>
  <c r="G174" i="2"/>
  <c r="G176" i="2"/>
  <c r="G179" i="2"/>
  <c r="G181" i="2"/>
  <c r="G184" i="2"/>
  <c r="G186" i="2"/>
  <c r="G189" i="2"/>
  <c r="G191" i="2"/>
  <c r="G194" i="2"/>
  <c r="G196" i="2"/>
  <c r="G199" i="2"/>
  <c r="G201" i="2"/>
  <c r="G203" i="2"/>
  <c r="G204" i="2"/>
  <c r="G205" i="2"/>
  <c r="G208" i="2"/>
  <c r="G209" i="2"/>
  <c r="G210" i="2"/>
  <c r="G214" i="2"/>
  <c r="G215" i="2"/>
  <c r="G11" i="2"/>
  <c r="D45" i="1"/>
  <c r="D48" i="1" s="1"/>
  <c r="E11" i="1"/>
  <c r="C44" i="1"/>
  <c r="C35" i="1"/>
  <c r="C30" i="1"/>
  <c r="C25" i="1"/>
  <c r="C18" i="1"/>
  <c r="C13" i="1"/>
  <c r="F68" i="2" l="1"/>
  <c r="F217" i="2" s="1"/>
  <c r="F231" i="2"/>
  <c r="E44" i="1"/>
  <c r="C22" i="1"/>
  <c r="C38" i="1" s="1"/>
  <c r="C45" i="1" s="1"/>
  <c r="C48" i="1" s="1"/>
  <c r="E246" i="2" l="1"/>
  <c r="G246" i="2" s="1"/>
  <c r="E245" i="2"/>
  <c r="G245" i="2" s="1"/>
  <c r="E244" i="2"/>
  <c r="G244" i="2" s="1"/>
  <c r="E243" i="2"/>
  <c r="G243" i="2" s="1"/>
  <c r="G242" i="2"/>
  <c r="E241" i="2"/>
  <c r="G241" i="2" s="1"/>
  <c r="G240" i="2"/>
  <c r="G239" i="2"/>
  <c r="E237" i="2"/>
  <c r="G237" i="2" s="1"/>
  <c r="E216" i="2"/>
  <c r="G216" i="2" s="1"/>
  <c r="E207" i="2"/>
  <c r="E213" i="2" s="1"/>
  <c r="E206" i="2"/>
  <c r="G206" i="2" s="1"/>
  <c r="E200" i="2"/>
  <c r="E198" i="2"/>
  <c r="G198" i="2" s="1"/>
  <c r="E195" i="2"/>
  <c r="G195" i="2" s="1"/>
  <c r="E193" i="2"/>
  <c r="G193" i="2" s="1"/>
  <c r="E190" i="2"/>
  <c r="G190" i="2" s="1"/>
  <c r="E188" i="2"/>
  <c r="E185" i="2"/>
  <c r="G185" i="2" s="1"/>
  <c r="E180" i="2"/>
  <c r="G180" i="2" s="1"/>
  <c r="E178" i="2"/>
  <c r="E175" i="2"/>
  <c r="G175" i="2" s="1"/>
  <c r="E173" i="2"/>
  <c r="E170" i="2"/>
  <c r="G170" i="2" s="1"/>
  <c r="E168" i="2"/>
  <c r="E165" i="2"/>
  <c r="G165" i="2" s="1"/>
  <c r="E163" i="2"/>
  <c r="E160" i="2"/>
  <c r="G160" i="2" s="1"/>
  <c r="E158" i="2"/>
  <c r="E155" i="2"/>
  <c r="G155" i="2" s="1"/>
  <c r="E153" i="2"/>
  <c r="E148" i="2"/>
  <c r="E143" i="2"/>
  <c r="E138" i="2"/>
  <c r="E137" i="2"/>
  <c r="G137" i="2" s="1"/>
  <c r="E132" i="2"/>
  <c r="G132" i="2" s="1"/>
  <c r="E125" i="2"/>
  <c r="E122" i="2"/>
  <c r="G122" i="2" s="1"/>
  <c r="E114" i="2"/>
  <c r="E111" i="2"/>
  <c r="G111" i="2" s="1"/>
  <c r="E110" i="2"/>
  <c r="G109" i="2"/>
  <c r="E102" i="2"/>
  <c r="E100" i="2"/>
  <c r="G100" i="2" s="1"/>
  <c r="G97" i="2"/>
  <c r="G93" i="2"/>
  <c r="E89" i="2"/>
  <c r="G89" i="2" s="1"/>
  <c r="E87" i="2"/>
  <c r="G87" i="2" s="1"/>
  <c r="E85" i="2"/>
  <c r="G85" i="2" s="1"/>
  <c r="E83" i="2"/>
  <c r="G83" i="2" s="1"/>
  <c r="E81" i="2"/>
  <c r="G81" i="2" s="1"/>
  <c r="G79" i="2"/>
  <c r="E77" i="2"/>
  <c r="G77" i="2" s="1"/>
  <c r="E75" i="2"/>
  <c r="G75" i="2" s="1"/>
  <c r="E73" i="2"/>
  <c r="G73" i="2" s="1"/>
  <c r="E71" i="2"/>
  <c r="G71" i="2" s="1"/>
  <c r="E66" i="2"/>
  <c r="E63" i="2"/>
  <c r="E56" i="2"/>
  <c r="G56" i="2" s="1"/>
  <c r="E54" i="2"/>
  <c r="G54" i="2" s="1"/>
  <c r="E48" i="2"/>
  <c r="E46" i="2"/>
  <c r="E43" i="2"/>
  <c r="E23" i="2"/>
  <c r="E22" i="2"/>
  <c r="G22" i="2" s="1"/>
  <c r="E19" i="2"/>
  <c r="G19" i="2" s="1"/>
  <c r="E12" i="2"/>
  <c r="G12" i="2" s="1"/>
  <c r="E234" i="2" l="1"/>
  <c r="G234" i="2" s="1"/>
  <c r="E28" i="2"/>
  <c r="E55" i="2"/>
  <c r="G55" i="2" s="1"/>
  <c r="E235" i="2"/>
  <c r="G235" i="2" s="1"/>
  <c r="E202" i="2"/>
  <c r="G202" i="2" s="1"/>
  <c r="G200" i="2"/>
  <c r="G213" i="2"/>
  <c r="G207" i="2"/>
  <c r="E157" i="2"/>
  <c r="G157" i="2" s="1"/>
  <c r="G153" i="2"/>
  <c r="E192" i="2"/>
  <c r="G192" i="2" s="1"/>
  <c r="G188" i="2"/>
  <c r="E113" i="2"/>
  <c r="G113" i="2" s="1"/>
  <c r="G110" i="2"/>
  <c r="E167" i="2"/>
  <c r="G167" i="2" s="1"/>
  <c r="G163" i="2"/>
  <c r="E117" i="2"/>
  <c r="G117" i="2" s="1"/>
  <c r="G114" i="2"/>
  <c r="E172" i="2"/>
  <c r="G172" i="2" s="1"/>
  <c r="G168" i="2"/>
  <c r="G23" i="2"/>
  <c r="E36" i="2"/>
  <c r="G29" i="2"/>
  <c r="E127" i="2"/>
  <c r="G127" i="2" s="1"/>
  <c r="G125" i="2"/>
  <c r="E177" i="2"/>
  <c r="G177" i="2" s="1"/>
  <c r="G173" i="2"/>
  <c r="E224" i="2"/>
  <c r="G224" i="2" s="1"/>
  <c r="G43" i="2"/>
  <c r="E225" i="2"/>
  <c r="G225" i="2" s="1"/>
  <c r="G46" i="2"/>
  <c r="E182" i="2"/>
  <c r="G182" i="2" s="1"/>
  <c r="G178" i="2"/>
  <c r="G48" i="2"/>
  <c r="E142" i="2"/>
  <c r="G142" i="2" s="1"/>
  <c r="G138" i="2"/>
  <c r="E147" i="2"/>
  <c r="G147" i="2" s="1"/>
  <c r="G143" i="2"/>
  <c r="E187" i="2"/>
  <c r="G187" i="2" s="1"/>
  <c r="G183" i="2"/>
  <c r="E152" i="2"/>
  <c r="G152" i="2" s="1"/>
  <c r="G148" i="2"/>
  <c r="E229" i="2"/>
  <c r="G229" i="2" s="1"/>
  <c r="G63" i="2"/>
  <c r="E67" i="2"/>
  <c r="G66" i="2"/>
  <c r="E104" i="2"/>
  <c r="G104" i="2" s="1"/>
  <c r="G102" i="2"/>
  <c r="E162" i="2"/>
  <c r="G162" i="2" s="1"/>
  <c r="G158" i="2"/>
  <c r="E220" i="2"/>
  <c r="G220" i="2" s="1"/>
  <c r="E197" i="2"/>
  <c r="G197" i="2" s="1"/>
  <c r="E221" i="2"/>
  <c r="G221" i="2" s="1"/>
  <c r="E238" i="2"/>
  <c r="G238" i="2" s="1"/>
  <c r="E61" i="2"/>
  <c r="E236" i="2"/>
  <c r="E247" i="2" l="1"/>
  <c r="G247" i="2" s="1"/>
  <c r="G236" i="2"/>
  <c r="E227" i="2"/>
  <c r="G227" i="2" s="1"/>
  <c r="E223" i="2"/>
  <c r="G223" i="2" s="1"/>
  <c r="G36" i="2"/>
  <c r="E222" i="2"/>
  <c r="G222" i="2" s="1"/>
  <c r="G28" i="2"/>
  <c r="E228" i="2"/>
  <c r="G61" i="2"/>
  <c r="E226" i="2"/>
  <c r="G226" i="2" s="1"/>
  <c r="E230" i="2"/>
  <c r="G230" i="2" s="1"/>
  <c r="G67" i="2"/>
  <c r="E68" i="2"/>
  <c r="E217" i="2" l="1"/>
  <c r="G217" i="2" s="1"/>
  <c r="G68" i="2"/>
  <c r="E231" i="2"/>
  <c r="G231" i="2" s="1"/>
  <c r="G228" i="2"/>
  <c r="E34" i="1"/>
  <c r="E13" i="1" l="1"/>
  <c r="E15" i="1"/>
  <c r="E16" i="1"/>
  <c r="E17" i="1"/>
  <c r="E18" i="1"/>
  <c r="E20" i="1"/>
  <c r="E21" i="1"/>
  <c r="E22" i="1"/>
  <c r="E24" i="1"/>
  <c r="E25" i="1"/>
  <c r="E27" i="1"/>
  <c r="E28" i="1"/>
  <c r="E29" i="1"/>
  <c r="E30" i="1"/>
  <c r="E31" i="1"/>
  <c r="E32" i="1"/>
  <c r="E33" i="1"/>
  <c r="E35" i="1"/>
  <c r="E37" i="1"/>
  <c r="E38" i="1"/>
  <c r="E40" i="1"/>
  <c r="E42" i="1"/>
  <c r="E43" i="1"/>
  <c r="E47" i="1"/>
  <c r="E48" i="1"/>
  <c r="E12" i="1"/>
  <c r="E41" i="1" l="1"/>
  <c r="E36" i="1"/>
  <c r="E26" i="1"/>
  <c r="E19" i="1"/>
  <c r="E14" i="1" l="1"/>
  <c r="E45" i="1"/>
  <c r="E23" i="1" l="1"/>
  <c r="E39" i="1" l="1"/>
  <c r="E46" i="1" l="1"/>
</calcChain>
</file>

<file path=xl/sharedStrings.xml><?xml version="1.0" encoding="utf-8"?>
<sst xmlns="http://schemas.openxmlformats.org/spreadsheetml/2006/main" count="496" uniqueCount="219">
  <si>
    <t>Eil. Nr.</t>
  </si>
  <si>
    <t>Pajamų pavadinimas</t>
  </si>
  <si>
    <t>1.</t>
  </si>
  <si>
    <t>Gyventojų pajamų mokestis</t>
  </si>
  <si>
    <t>2.</t>
  </si>
  <si>
    <t>Gyventojų pajamų mokestis už pajamas, gautas iš veiklos turint verslo liudijimą</t>
  </si>
  <si>
    <t>3.</t>
  </si>
  <si>
    <t>Turto mokesčiai ir nuomos pajamos, iš jų:</t>
  </si>
  <si>
    <t>3.1.</t>
  </si>
  <si>
    <t>Žemės mokestis</t>
  </si>
  <si>
    <t>3.2.</t>
  </si>
  <si>
    <t>Paveldimo turto mokestis</t>
  </si>
  <si>
    <t>3.3.</t>
  </si>
  <si>
    <t>Nekilnojamojo turto mokestis</t>
  </si>
  <si>
    <t>3.4.</t>
  </si>
  <si>
    <t xml:space="preserve">Nuomos mokestis už valstybinę žemę </t>
  </si>
  <si>
    <t>4.</t>
  </si>
  <si>
    <t>Kiti mokesčiai ir pajamos, iš jų:</t>
  </si>
  <si>
    <t>4.1.</t>
  </si>
  <si>
    <t>Valstybės rinkliava</t>
  </si>
  <si>
    <t>4.2.</t>
  </si>
  <si>
    <t>Pajamos iš baudų, konfiskuoto turto ir kitų netesybų</t>
  </si>
  <si>
    <t>4.3.</t>
  </si>
  <si>
    <t>Kitos neišvardintos pajamos</t>
  </si>
  <si>
    <t>5.</t>
  </si>
  <si>
    <t>Iš viso prognozuojamos pajamos (1+2+3+4)</t>
  </si>
  <si>
    <t>6.</t>
  </si>
  <si>
    <t>Vietinės rinkliavos, iš jų:</t>
  </si>
  <si>
    <t>6.1.</t>
  </si>
  <si>
    <t>už komunalinių atliekų tvarkymą</t>
  </si>
  <si>
    <t>7.</t>
  </si>
  <si>
    <t>Savivaldybės biudžetinių įstaigų pajamos, iš jų:</t>
  </si>
  <si>
    <t>7.1.</t>
  </si>
  <si>
    <t>Pajamos už ilgalaikio ir trumpalaikio materialiojo turto nuomą</t>
  </si>
  <si>
    <t>7.2.</t>
  </si>
  <si>
    <t>Įmokos už išlaikymą švietimo, socialinės apsaugos ir kitose įstaigose</t>
  </si>
  <si>
    <t>7.3.</t>
  </si>
  <si>
    <t xml:space="preserve">Pajamos už prekes ir paslaugas </t>
  </si>
  <si>
    <t>8.</t>
  </si>
  <si>
    <t>Savivaldybės aplinkos apsaugos rėmimo programos pajamos, iš jų:</t>
  </si>
  <si>
    <t xml:space="preserve">Mokestis už aplinkos teršimą </t>
  </si>
  <si>
    <t>Kiti mokesčiai už valstybinius gamtos išteklius</t>
  </si>
  <si>
    <t>Mokestis už medžiojamų gyvūnų išteklius</t>
  </si>
  <si>
    <t>9.</t>
  </si>
  <si>
    <t>Angliavandenilių išteklių mokestis</t>
  </si>
  <si>
    <t>10.</t>
  </si>
  <si>
    <t>Materialiojo ir nematerialiojo turto realizavimo pajamos, iš jų:</t>
  </si>
  <si>
    <t>Žemės realizavimo pajamos</t>
  </si>
  <si>
    <t>Kitos ilgalaikio turto realizavimo pajamos</t>
  </si>
  <si>
    <t>11.</t>
  </si>
  <si>
    <t>12.</t>
  </si>
  <si>
    <t>Speciali tikslinė dotacija valstybinėms (perduotoms savivaldybėms) funkcijoms vykdyti</t>
  </si>
  <si>
    <t>13.</t>
  </si>
  <si>
    <t>Speciali tikslinė dotacija ugdymo reikmėms finansuoti</t>
  </si>
  <si>
    <t>14.</t>
  </si>
  <si>
    <t>Valstybės biudžeto dotacijos nuosavų lėšų daliai finansuoti ir kitos valstybės biudžeto lėšos</t>
  </si>
  <si>
    <t>15.</t>
  </si>
  <si>
    <t>Kelių priežiūros ir plėtros programos finansavimo lėšos</t>
  </si>
  <si>
    <t>16.</t>
  </si>
  <si>
    <t>Europos Sąjungos finansinės paramos lėšos (įskaitant kompensuojamas Europos Sąjungos finansinės paramos lėšas)</t>
  </si>
  <si>
    <t>17.</t>
  </si>
  <si>
    <t>18.</t>
  </si>
  <si>
    <t>19.</t>
  </si>
  <si>
    <t>Skolintos lėšos investiciniams projektams finansuoti</t>
  </si>
  <si>
    <t>20.</t>
  </si>
  <si>
    <t>Metų pradžios apyvartinių lėšų likutis</t>
  </si>
  <si>
    <t>21.</t>
  </si>
  <si>
    <t xml:space="preserve">Asignavimų valdytojas </t>
  </si>
  <si>
    <t>Programos pavadinimas</t>
  </si>
  <si>
    <t>Šaltinis</t>
  </si>
  <si>
    <t>Kretingos r. sav. kontrolės ir audito tarnyba</t>
  </si>
  <si>
    <t>Bendroji programa (01)</t>
  </si>
  <si>
    <t>B</t>
  </si>
  <si>
    <t xml:space="preserve">Viso pagal asignavimų valdytoją: </t>
  </si>
  <si>
    <t>Kretingos r. savivaldybės administracija</t>
  </si>
  <si>
    <t>S</t>
  </si>
  <si>
    <t>D</t>
  </si>
  <si>
    <t>E</t>
  </si>
  <si>
    <t>Seniūnijų programa (02)</t>
  </si>
  <si>
    <t>BP</t>
  </si>
  <si>
    <t>Žemės ūkio programa (03)</t>
  </si>
  <si>
    <t>VA</t>
  </si>
  <si>
    <t xml:space="preserve">E </t>
  </si>
  <si>
    <t>Strateginio planavimo ir investicijų programa (04)</t>
  </si>
  <si>
    <t>P</t>
  </si>
  <si>
    <t>SIP</t>
  </si>
  <si>
    <t>Vietinio ūkio ir turto valdymo programa (05)</t>
  </si>
  <si>
    <t>ZP</t>
  </si>
  <si>
    <t>F</t>
  </si>
  <si>
    <t>Sveikatos apsaugos programa (06)</t>
  </si>
  <si>
    <t>Kultūros programa (07)</t>
  </si>
  <si>
    <t>Švietimo programa (08)</t>
  </si>
  <si>
    <t>K</t>
  </si>
  <si>
    <t>VB</t>
  </si>
  <si>
    <t>Viešoji įstaiga Pranciškonų gimnazija</t>
  </si>
  <si>
    <t>Socialinės paramos programa (09)</t>
  </si>
  <si>
    <t>Kūno kultūros ir sporto programa (10)</t>
  </si>
  <si>
    <t>Architektūros ir teritorijų planavimo programa (11)</t>
  </si>
  <si>
    <t>Kretingos r. sav. Priešgaisrinė tarnyba</t>
  </si>
  <si>
    <t>Kretingos r. sav. administracijos Darbėnų seniūnija</t>
  </si>
  <si>
    <t>Kretingos r. sav. administracijos Imbarės seniūnija</t>
  </si>
  <si>
    <t>Kretingos r. sav. administracijos Kartenos seniūnija</t>
  </si>
  <si>
    <t>Kretingos r. sav. administracijos Kretingos miesto seniūnija</t>
  </si>
  <si>
    <t>Kretingos r. sav. administracijos Kretingos seniūnija</t>
  </si>
  <si>
    <t>Kretingos r. sav. administracijos Kūlupėnų seniūnija</t>
  </si>
  <si>
    <t>Kretingos r. sav. administracijos Salantų miesto seniūnija</t>
  </si>
  <si>
    <t>Kretingos r. sav. administracijos Vydmantų seniūnija</t>
  </si>
  <si>
    <t>Kretingos r. sav. administracijos Žalgirio seniūnija</t>
  </si>
  <si>
    <t>Kretingos r. sav. visuomenės sveikatos biuras</t>
  </si>
  <si>
    <t>Kretingos r. sav. Kretingos kultūros centras</t>
  </si>
  <si>
    <t>Kretingos r. sav. Salantų kultūros centras</t>
  </si>
  <si>
    <t>Kretingos r. sav. Motiejaus Valančiaus viešoji biblioteka</t>
  </si>
  <si>
    <t>Kretingos r. sav. Kretingos muziejus</t>
  </si>
  <si>
    <t>Kretingos r. sav. Jurgio Pabrėžos universitetinė gimnazija</t>
  </si>
  <si>
    <t>Kretingos r. sav. Marijono Daujoto progimnazija</t>
  </si>
  <si>
    <t>Kretingos r. sav. Simono Daukanto progimnazija</t>
  </si>
  <si>
    <t>22.</t>
  </si>
  <si>
    <t>Kretingos r. sav. Salantų gimnazija</t>
  </si>
  <si>
    <t>23.</t>
  </si>
  <si>
    <t>Kretingos r. sav. Darbėnų gimnazija</t>
  </si>
  <si>
    <t>24.</t>
  </si>
  <si>
    <t>Kretingos r. sav. Vydmantų gimnazija</t>
  </si>
  <si>
    <t>25.</t>
  </si>
  <si>
    <t>Kretingos r. sav. Kartenos mokykla-daugiafunkcis centras</t>
  </si>
  <si>
    <t>26.</t>
  </si>
  <si>
    <t>Kretingos r. sav. Jokūbavo Aleksandro Stulginskio mokykla-daugiafunkcis centras</t>
  </si>
  <si>
    <t>27.</t>
  </si>
  <si>
    <t>Kretingos r. sav. Kūlupėnų Motiejaus Valančiaus pagrindinė mokykla</t>
  </si>
  <si>
    <t>28.</t>
  </si>
  <si>
    <t>Kretingos r. sav. Kurmaičių pradinė mokykla</t>
  </si>
  <si>
    <t>29.</t>
  </si>
  <si>
    <t>Kretingos r. sav. Marijos Tiškevičiūtės mokykla</t>
  </si>
  <si>
    <t>30.</t>
  </si>
  <si>
    <t>Kretingos r. sav. lopšelis-darželis "Pasaka"</t>
  </si>
  <si>
    <t>31.</t>
  </si>
  <si>
    <t>Kretingos r. sav. lopšelis-darželis "Ąžuoliukas"</t>
  </si>
  <si>
    <t>32.</t>
  </si>
  <si>
    <t>Kretingos r. sav. lopšelis-darželis "Žilvitis"</t>
  </si>
  <si>
    <t>33.</t>
  </si>
  <si>
    <t>Kretingos r. sav. mokykla-darželis "Žibutė"</t>
  </si>
  <si>
    <t>34.</t>
  </si>
  <si>
    <t>Kretingos r. sav. Kretingos rajono švietimo centras</t>
  </si>
  <si>
    <t>36.</t>
  </si>
  <si>
    <t>Kretingos r. sav. Kretingos sporto mokykla</t>
  </si>
  <si>
    <t>37.</t>
  </si>
  <si>
    <t>Kretingos r. sav. Kretingos meno mokykla</t>
  </si>
  <si>
    <t>38.</t>
  </si>
  <si>
    <t>Kretingos r. sav. Salantų meno mokykla</t>
  </si>
  <si>
    <t>39.</t>
  </si>
  <si>
    <t>Kretingos r. sav. Dienos veiklos centras</t>
  </si>
  <si>
    <t>Kretingos r. sav. Kretingos socialinių paslaugų centras</t>
  </si>
  <si>
    <t>IŠ VISO:</t>
  </si>
  <si>
    <t>Programa</t>
  </si>
  <si>
    <t>Pavadinimas</t>
  </si>
  <si>
    <t>01</t>
  </si>
  <si>
    <t>Bendroji programa</t>
  </si>
  <si>
    <t>02</t>
  </si>
  <si>
    <t>Seniūnijų programa</t>
  </si>
  <si>
    <t>03</t>
  </si>
  <si>
    <t>Žemės ūkio programa</t>
  </si>
  <si>
    <t>04</t>
  </si>
  <si>
    <t>Strateginio planavimo ir investicijų programa</t>
  </si>
  <si>
    <t>05</t>
  </si>
  <si>
    <t>Vietinio ūkio ir turto valdymo programa</t>
  </si>
  <si>
    <t>06</t>
  </si>
  <si>
    <t>Sveikatos apsaugos programa</t>
  </si>
  <si>
    <t>07</t>
  </si>
  <si>
    <t>Kultūros programa</t>
  </si>
  <si>
    <t>08</t>
  </si>
  <si>
    <t>Švietimo programa</t>
  </si>
  <si>
    <t>09</t>
  </si>
  <si>
    <t>Socialinės paramos programa</t>
  </si>
  <si>
    <t>Kūno kultūros ir sporto programa</t>
  </si>
  <si>
    <t>Architektūros ir teritorijų planavimo programa</t>
  </si>
  <si>
    <t>Finansavimo šaltinis</t>
  </si>
  <si>
    <t>Savarankiškoms funkcijoms atlikti (savivaldybės biudžeto lėšos)</t>
  </si>
  <si>
    <t>Įstaigos pajamos, skirtos veiklos išlaidoms</t>
  </si>
  <si>
    <t>Valstybinėms (perduotoms savivaldybėms) funkcijoms atlikti skirtos lėšos</t>
  </si>
  <si>
    <t>Skolintos lėšos</t>
  </si>
  <si>
    <t xml:space="preserve">Europos Sąjungos ir kitos finansinės paramos lėšos (Europos Sąjungos finansinės paramos lėšos) </t>
  </si>
  <si>
    <t>Savarankiškoms funkcijoms atlikti (žemės pardavimo lėšos)</t>
  </si>
  <si>
    <t>Aplinkos apsaugos rėmimo specialiosios programos lėšos</t>
  </si>
  <si>
    <t>Infrastruktūros įmokos, skirtos inžinerinei infrastruktūrai finansuoti ir kompensacijoms mokėti</t>
  </si>
  <si>
    <t>Keitimas</t>
  </si>
  <si>
    <t>Projektas</t>
  </si>
  <si>
    <t>Patvirtinta</t>
  </si>
  <si>
    <t>(eurais)</t>
  </si>
  <si>
    <t xml:space="preserve">                                                                 Projekto lyginamasis variantas</t>
  </si>
  <si>
    <t xml:space="preserve">                                                           Kretingos rajono savivaldybės tarybos</t>
  </si>
  <si>
    <t xml:space="preserve">                                                           (Kretingos rajono savivaldybės tarybos</t>
  </si>
  <si>
    <t xml:space="preserve">                                                           3 priedas</t>
  </si>
  <si>
    <t xml:space="preserve">                   Projekto lyginamasis variantas</t>
  </si>
  <si>
    <t xml:space="preserve">                                                           1 priedas</t>
  </si>
  <si>
    <t xml:space="preserve">                                                           2026 m. sausio 29 d. sprendimu Nr. T2-2</t>
  </si>
  <si>
    <t>2026 metų Kretingos rajono savivaldybės biudžeto asignavimų paskirstymas</t>
  </si>
  <si>
    <t>Viso pagal programą:</t>
  </si>
  <si>
    <t>KPPP</t>
  </si>
  <si>
    <t>35.</t>
  </si>
  <si>
    <t>Kretingos r. sav. Kretingos rajono sporto centras</t>
  </si>
  <si>
    <t>2026 m. asignavimai, eurais</t>
  </si>
  <si>
    <t>Kelių priežiūros ir plėtros programos lėšos</t>
  </si>
  <si>
    <t>Valstybės biudžeto dotacijos ir kitos lėšos</t>
  </si>
  <si>
    <t>Savarankiškoms funkcijoms atlikti (savivaldybės ilgalaikio turto pardavimo lėšos)</t>
  </si>
  <si>
    <t xml:space="preserve">                                                                  2026 m. sausio 29 d. sprendimu Nr. T2-2</t>
  </si>
  <si>
    <t>Iš viso, Eur</t>
  </si>
  <si>
    <t>Savivaldybės infrastruktūros plėtros įmoka</t>
  </si>
  <si>
    <t>9.1</t>
  </si>
  <si>
    <t>9.2</t>
  </si>
  <si>
    <t>9.3</t>
  </si>
  <si>
    <t>11.1</t>
  </si>
  <si>
    <t>11.2</t>
  </si>
  <si>
    <t xml:space="preserve">Pajamos savarankiškoms funkcijoms vykdyti (5+6+7+8+9+10+11) </t>
  </si>
  <si>
    <t>Dotacijos (13+14+15+16+17)</t>
  </si>
  <si>
    <t>IŠ VISO 2026 M. PAJAMŲ (12+18)</t>
  </si>
  <si>
    <t>IŠ VISO</t>
  </si>
  <si>
    <t xml:space="preserve">                                 Kretingos rajono savivaldybės 2026 m. biudžeto pajamos</t>
  </si>
  <si>
    <t>Valstybės biudžeto lėšos projektams vykdyti</t>
  </si>
  <si>
    <t xml:space="preserve">                                                                                2026 m. birželio   d. sprendimo Nr. T2-  redakcija)</t>
  </si>
  <si>
    <t xml:space="preserve">                                                           2026 m. birželio    d. sprendimo Nr. T2-    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</si>
</sst>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name val="Arial"/>
      <family val="2"/>
      <charset val="186"/>
    </font>
    <font>
      <b/>
      <sz val="11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rgb="FFFF0000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indexed="62"/>
      <name val="Calibri"/>
      <family val="2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color theme="1"/>
      <name val="Times New Roman"/>
      <family val="1"/>
      <charset val="186"/>
    </font>
    <font>
      <sz val="1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indexed="47"/>
      </patternFill>
    </fill>
  </fills>
  <borders count="6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2" borderId="1" applyNumberFormat="0" applyAlignment="0" applyProtection="0"/>
    <xf numFmtId="0" fontId="8" fillId="0" borderId="0"/>
    <xf numFmtId="0" fontId="13" fillId="0" borderId="0"/>
    <xf numFmtId="0" fontId="14" fillId="4" borderId="27" applyNumberFormat="0" applyAlignment="0" applyProtection="0"/>
    <xf numFmtId="0" fontId="15" fillId="0" borderId="0" applyNumberFormat="0"/>
    <xf numFmtId="0" fontId="16" fillId="0" borderId="0"/>
  </cellStyleXfs>
  <cellXfs count="216">
    <xf numFmtId="0" fontId="0" fillId="0" borderId="0" xfId="0"/>
    <xf numFmtId="49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 wrapText="1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17" xfId="0" applyFont="1" applyBorder="1" applyAlignment="1">
      <alignment horizontal="center" vertical="center" wrapText="1"/>
    </xf>
    <xf numFmtId="164" fontId="4" fillId="0" borderId="1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0" fontId="4" fillId="0" borderId="10" xfId="0" quotePrefix="1" applyFont="1" applyBorder="1" applyAlignment="1">
      <alignment horizontal="center" vertical="center" wrapText="1"/>
    </xf>
    <xf numFmtId="3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3" fontId="2" fillId="0" borderId="2" xfId="0" applyNumberFormat="1" applyFont="1" applyBorder="1" applyAlignment="1">
      <alignment horizontal="center" vertical="center" wrapText="1"/>
    </xf>
    <xf numFmtId="3" fontId="2" fillId="3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Alignment="1"/>
    <xf numFmtId="0" fontId="2" fillId="0" borderId="0" xfId="0" applyFont="1" applyAlignment="1">
      <alignment vertical="top" wrapText="1"/>
    </xf>
    <xf numFmtId="0" fontId="0" fillId="0" borderId="0" xfId="0" applyFont="1"/>
    <xf numFmtId="0" fontId="2" fillId="0" borderId="0" xfId="0" applyFont="1" applyAlignment="1">
      <alignment horizontal="right" vertical="top" wrapText="1"/>
    </xf>
    <xf numFmtId="3" fontId="5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0" xfId="3"/>
    <xf numFmtId="0" fontId="7" fillId="0" borderId="0" xfId="3" applyFont="1" applyAlignment="1">
      <alignment vertical="center"/>
    </xf>
    <xf numFmtId="0" fontId="7" fillId="0" borderId="0" xfId="3" applyFont="1" applyAlignment="1">
      <alignment horizontal="left" vertical="center"/>
    </xf>
    <xf numFmtId="0" fontId="7" fillId="0" borderId="0" xfId="3" applyFont="1" applyAlignment="1">
      <alignment horizontal="center" vertical="center"/>
    </xf>
    <xf numFmtId="0" fontId="4" fillId="0" borderId="15" xfId="1" applyFont="1" applyFill="1" applyBorder="1" applyAlignment="1" applyProtection="1">
      <alignment horizontal="left" vertical="center" wrapText="1"/>
    </xf>
    <xf numFmtId="0" fontId="7" fillId="0" borderId="16" xfId="1" applyFont="1" applyFill="1" applyBorder="1" applyAlignment="1" applyProtection="1">
      <alignment horizontal="left" vertical="center" wrapText="1"/>
    </xf>
    <xf numFmtId="0" fontId="7" fillId="0" borderId="15" xfId="1" applyFont="1" applyFill="1" applyBorder="1" applyAlignment="1" applyProtection="1">
      <alignment horizontal="center" vertical="center" wrapText="1"/>
    </xf>
    <xf numFmtId="0" fontId="4" fillId="0" borderId="7" xfId="1" applyFont="1" applyFill="1" applyBorder="1" applyAlignment="1" applyProtection="1">
      <alignment horizontal="left" vertical="center" wrapText="1"/>
    </xf>
    <xf numFmtId="0" fontId="7" fillId="0" borderId="8" xfId="1" applyFont="1" applyFill="1" applyBorder="1" applyAlignment="1" applyProtection="1">
      <alignment horizontal="left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7" fillId="0" borderId="26" xfId="1" applyFont="1" applyFill="1" applyBorder="1" applyAlignment="1" applyProtection="1">
      <alignment horizontal="left" vertical="center" wrapText="1"/>
    </xf>
    <xf numFmtId="0" fontId="4" fillId="0" borderId="5" xfId="1" applyFont="1" applyFill="1" applyBorder="1" applyAlignment="1" applyProtection="1">
      <alignment horizontal="center" vertical="center" wrapText="1"/>
    </xf>
    <xf numFmtId="0" fontId="4" fillId="0" borderId="6" xfId="1" applyFont="1" applyFill="1" applyBorder="1" applyAlignment="1" applyProtection="1">
      <alignment horizontal="center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right" vertical="center"/>
    </xf>
    <xf numFmtId="0" fontId="4" fillId="0" borderId="29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/>
    </xf>
    <xf numFmtId="0" fontId="4" fillId="0" borderId="10" xfId="0" quotePrefix="1" applyFont="1" applyBorder="1" applyAlignment="1">
      <alignment horizontal="center" vertical="top" wrapText="1"/>
    </xf>
    <xf numFmtId="0" fontId="0" fillId="0" borderId="0" xfId="0" applyBorder="1"/>
    <xf numFmtId="0" fontId="11" fillId="0" borderId="0" xfId="0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35" xfId="0" applyFont="1" applyBorder="1" applyAlignment="1">
      <alignment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top" wrapText="1"/>
    </xf>
    <xf numFmtId="0" fontId="0" fillId="0" borderId="2" xfId="0" applyBorder="1"/>
    <xf numFmtId="0" fontId="5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top" wrapText="1"/>
    </xf>
    <xf numFmtId="3" fontId="2" fillId="0" borderId="2" xfId="0" applyNumberFormat="1" applyFont="1" applyBorder="1" applyAlignment="1">
      <alignment horizontal="center" vertical="top" wrapText="1"/>
    </xf>
    <xf numFmtId="0" fontId="2" fillId="0" borderId="2" xfId="0" applyFont="1" applyBorder="1" applyAlignment="1">
      <alignment horizontal="left" vertical="top"/>
    </xf>
    <xf numFmtId="49" fontId="6" fillId="0" borderId="2" xfId="0" applyNumberFormat="1" applyFont="1" applyBorder="1" applyAlignment="1">
      <alignment horizontal="center" vertical="top" wrapText="1"/>
    </xf>
    <xf numFmtId="0" fontId="6" fillId="0" borderId="2" xfId="0" applyFont="1" applyBorder="1" applyAlignment="1">
      <alignment horizontal="left" vertical="top" wrapText="1"/>
    </xf>
    <xf numFmtId="3" fontId="6" fillId="0" borderId="2" xfId="0" applyNumberFormat="1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3" fontId="2" fillId="3" borderId="2" xfId="0" applyNumberFormat="1" applyFont="1" applyFill="1" applyBorder="1" applyAlignment="1">
      <alignment horizontal="center" vertical="top" wrapText="1"/>
    </xf>
    <xf numFmtId="3" fontId="6" fillId="3" borderId="2" xfId="0" applyNumberFormat="1" applyFont="1" applyFill="1" applyBorder="1" applyAlignment="1">
      <alignment horizontal="center" vertical="top" wrapText="1"/>
    </xf>
    <xf numFmtId="3" fontId="5" fillId="0" borderId="2" xfId="0" applyNumberFormat="1" applyFont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 vertical="top" wrapText="1"/>
    </xf>
    <xf numFmtId="49" fontId="6" fillId="0" borderId="0" xfId="2" applyNumberFormat="1" applyFont="1" applyBorder="1" applyAlignment="1">
      <alignment horizontal="center" vertical="top" wrapText="1"/>
    </xf>
    <xf numFmtId="0" fontId="6" fillId="0" borderId="0" xfId="2" applyFont="1" applyBorder="1" applyAlignment="1">
      <alignment horizontal="left" vertical="top" wrapText="1"/>
    </xf>
    <xf numFmtId="3" fontId="6" fillId="0" borderId="0" xfId="2" applyNumberFormat="1" applyFont="1" applyBorder="1" applyAlignment="1">
      <alignment horizontal="center" vertical="top" wrapText="1"/>
    </xf>
    <xf numFmtId="3" fontId="6" fillId="0" borderId="0" xfId="0" applyNumberFormat="1" applyFont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/>
    </xf>
    <xf numFmtId="3" fontId="6" fillId="3" borderId="2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0" fontId="4" fillId="0" borderId="37" xfId="0" applyFont="1" applyBorder="1" applyAlignment="1">
      <alignment horizontal="center" vertical="center" wrapText="1"/>
    </xf>
    <xf numFmtId="3" fontId="11" fillId="0" borderId="36" xfId="0" applyNumberFormat="1" applyFont="1" applyBorder="1" applyAlignment="1">
      <alignment horizontal="center" vertical="center"/>
    </xf>
    <xf numFmtId="3" fontId="11" fillId="0" borderId="41" xfId="0" applyNumberFormat="1" applyFont="1" applyBorder="1" applyAlignment="1">
      <alignment horizontal="center" vertical="center"/>
    </xf>
    <xf numFmtId="3" fontId="4" fillId="0" borderId="38" xfId="0" applyNumberFormat="1" applyFont="1" applyBorder="1" applyAlignment="1">
      <alignment horizontal="center" vertical="center"/>
    </xf>
    <xf numFmtId="3" fontId="10" fillId="0" borderId="42" xfId="0" applyNumberFormat="1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3" fontId="11" fillId="0" borderId="42" xfId="0" applyNumberFormat="1" applyFont="1" applyBorder="1" applyAlignment="1">
      <alignment horizontal="center" vertical="center"/>
    </xf>
    <xf numFmtId="0" fontId="4" fillId="0" borderId="39" xfId="0" quotePrefix="1" applyFont="1" applyBorder="1" applyAlignment="1">
      <alignment horizontal="center" vertical="top" wrapText="1"/>
    </xf>
    <xf numFmtId="0" fontId="4" fillId="0" borderId="11" xfId="0" quotePrefix="1" applyFont="1" applyBorder="1" applyAlignment="1">
      <alignment horizontal="center" vertical="top" wrapText="1"/>
    </xf>
    <xf numFmtId="0" fontId="0" fillId="0" borderId="12" xfId="0" applyBorder="1"/>
    <xf numFmtId="3" fontId="11" fillId="0" borderId="46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3" fontId="11" fillId="0" borderId="5" xfId="0" applyNumberFormat="1" applyFont="1" applyBorder="1" applyAlignment="1">
      <alignment horizontal="center" vertical="center"/>
    </xf>
    <xf numFmtId="3" fontId="10" fillId="0" borderId="17" xfId="0" applyNumberFormat="1" applyFont="1" applyBorder="1" applyAlignment="1">
      <alignment horizontal="center" vertical="center"/>
    </xf>
    <xf numFmtId="3" fontId="11" fillId="0" borderId="17" xfId="0" applyNumberFormat="1" applyFont="1" applyBorder="1" applyAlignment="1">
      <alignment horizontal="center" vertical="center"/>
    </xf>
    <xf numFmtId="3" fontId="10" fillId="0" borderId="14" xfId="0" applyNumberFormat="1" applyFont="1" applyBorder="1" applyAlignment="1">
      <alignment horizontal="center" vertical="center"/>
    </xf>
    <xf numFmtId="3" fontId="10" fillId="0" borderId="44" xfId="0" applyNumberFormat="1" applyFont="1" applyBorder="1" applyAlignment="1">
      <alignment horizontal="center" vertical="center"/>
    </xf>
    <xf numFmtId="3" fontId="4" fillId="0" borderId="47" xfId="0" applyNumberFormat="1" applyFont="1" applyBorder="1" applyAlignment="1">
      <alignment horizontal="center" vertical="center" wrapText="1"/>
    </xf>
    <xf numFmtId="3" fontId="7" fillId="0" borderId="26" xfId="0" applyNumberFormat="1" applyFont="1" applyBorder="1" applyAlignment="1">
      <alignment horizontal="center" vertical="center"/>
    </xf>
    <xf numFmtId="3" fontId="4" fillId="0" borderId="48" xfId="0" applyNumberFormat="1" applyFont="1" applyBorder="1" applyAlignment="1">
      <alignment horizontal="center" vertical="center" wrapText="1"/>
    </xf>
    <xf numFmtId="3" fontId="7" fillId="0" borderId="48" xfId="0" applyNumberFormat="1" applyFont="1" applyBorder="1" applyAlignment="1">
      <alignment horizontal="center" vertical="center"/>
    </xf>
    <xf numFmtId="3" fontId="4" fillId="0" borderId="49" xfId="0" applyNumberFormat="1" applyFont="1" applyBorder="1" applyAlignment="1">
      <alignment horizontal="center" vertical="center" wrapText="1"/>
    </xf>
    <xf numFmtId="3" fontId="4" fillId="0" borderId="48" xfId="0" applyNumberFormat="1" applyFont="1" applyBorder="1" applyAlignment="1">
      <alignment horizontal="center" vertical="center"/>
    </xf>
    <xf numFmtId="3" fontId="4" fillId="0" borderId="50" xfId="0" applyNumberFormat="1" applyFont="1" applyBorder="1" applyAlignment="1">
      <alignment horizontal="center" vertical="center" wrapText="1"/>
    </xf>
    <xf numFmtId="3" fontId="4" fillId="0" borderId="50" xfId="0" applyNumberFormat="1" applyFont="1" applyBorder="1" applyAlignment="1">
      <alignment horizontal="center" vertical="center"/>
    </xf>
    <xf numFmtId="3" fontId="7" fillId="0" borderId="50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17" xfId="0" applyNumberFormat="1" applyFont="1" applyBorder="1" applyAlignment="1">
      <alignment horizontal="center" vertical="center"/>
    </xf>
    <xf numFmtId="3" fontId="7" fillId="0" borderId="1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center" vertical="center"/>
    </xf>
    <xf numFmtId="3" fontId="11" fillId="0" borderId="15" xfId="0" applyNumberFormat="1" applyFont="1" applyBorder="1" applyAlignment="1">
      <alignment horizontal="center" vertical="center"/>
    </xf>
    <xf numFmtId="3" fontId="11" fillId="0" borderId="13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7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11" fillId="0" borderId="48" xfId="0" applyFont="1" applyBorder="1" applyAlignment="1">
      <alignment horizontal="center" vertical="center"/>
    </xf>
    <xf numFmtId="3" fontId="11" fillId="0" borderId="48" xfId="0" applyNumberFormat="1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3" fontId="11" fillId="0" borderId="53" xfId="0" applyNumberFormat="1" applyFont="1" applyBorder="1" applyAlignment="1">
      <alignment horizontal="center" vertical="center"/>
    </xf>
    <xf numFmtId="3" fontId="10" fillId="0" borderId="54" xfId="0" applyNumberFormat="1" applyFont="1" applyBorder="1" applyAlignment="1">
      <alignment horizontal="center" vertical="center"/>
    </xf>
    <xf numFmtId="3" fontId="11" fillId="0" borderId="54" xfId="0" applyNumberFormat="1" applyFont="1" applyBorder="1" applyAlignment="1">
      <alignment horizontal="center" vertical="center"/>
    </xf>
    <xf numFmtId="0" fontId="10" fillId="0" borderId="53" xfId="0" applyFont="1" applyBorder="1" applyAlignment="1">
      <alignment horizontal="center" vertical="center"/>
    </xf>
    <xf numFmtId="3" fontId="7" fillId="0" borderId="53" xfId="0" applyNumberFormat="1" applyFont="1" applyBorder="1" applyAlignment="1">
      <alignment horizontal="center" vertical="center"/>
    </xf>
    <xf numFmtId="3" fontId="11" fillId="0" borderId="55" xfId="0" applyNumberFormat="1" applyFont="1" applyBorder="1" applyAlignment="1">
      <alignment horizontal="center" vertical="center"/>
    </xf>
    <xf numFmtId="3" fontId="7" fillId="0" borderId="55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center" vertical="center"/>
    </xf>
    <xf numFmtId="0" fontId="18" fillId="0" borderId="0" xfId="0" applyFont="1" applyFill="1" applyBorder="1"/>
    <xf numFmtId="3" fontId="11" fillId="0" borderId="49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/>
    </xf>
    <xf numFmtId="0" fontId="17" fillId="0" borderId="44" xfId="0" applyFont="1" applyBorder="1" applyAlignment="1">
      <alignment horizontal="center" vertical="center"/>
    </xf>
    <xf numFmtId="0" fontId="4" fillId="0" borderId="20" xfId="0" quotePrefix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/>
    </xf>
    <xf numFmtId="3" fontId="11" fillId="0" borderId="40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7" fillId="0" borderId="43" xfId="0" applyFont="1" applyBorder="1" applyAlignment="1">
      <alignment horizontal="center" vertical="center"/>
    </xf>
    <xf numFmtId="0" fontId="7" fillId="0" borderId="25" xfId="2" applyFont="1" applyBorder="1" applyAlignment="1">
      <alignment horizontal="center" vertical="center" wrapText="1"/>
    </xf>
    <xf numFmtId="0" fontId="4" fillId="0" borderId="57" xfId="0" quotePrefix="1" applyFont="1" applyBorder="1" applyAlignment="1">
      <alignment horizontal="center" vertical="center" wrapText="1"/>
    </xf>
    <xf numFmtId="3" fontId="4" fillId="0" borderId="58" xfId="0" applyNumberFormat="1" applyFont="1" applyBorder="1" applyAlignment="1">
      <alignment horizontal="center" vertical="center"/>
    </xf>
    <xf numFmtId="3" fontId="4" fillId="0" borderId="58" xfId="0" applyNumberFormat="1" applyFont="1" applyBorder="1" applyAlignment="1">
      <alignment horizontal="center" vertical="center" wrapText="1"/>
    </xf>
    <xf numFmtId="3" fontId="11" fillId="0" borderId="59" xfId="0" applyNumberFormat="1" applyFont="1" applyBorder="1" applyAlignment="1">
      <alignment horizontal="center" vertical="center"/>
    </xf>
    <xf numFmtId="3" fontId="7" fillId="0" borderId="60" xfId="0" applyNumberFormat="1" applyFont="1" applyBorder="1" applyAlignment="1">
      <alignment horizontal="center" vertical="center"/>
    </xf>
    <xf numFmtId="3" fontId="10" fillId="0" borderId="43" xfId="0" applyNumberFormat="1" applyFont="1" applyBorder="1" applyAlignment="1">
      <alignment horizontal="center" vertical="center"/>
    </xf>
    <xf numFmtId="3" fontId="7" fillId="0" borderId="44" xfId="0" applyNumberFormat="1" applyFont="1" applyBorder="1" applyAlignment="1">
      <alignment horizontal="center" vertical="center"/>
    </xf>
    <xf numFmtId="3" fontId="7" fillId="0" borderId="44" xfId="0" applyNumberFormat="1" applyFont="1" applyBorder="1" applyAlignment="1">
      <alignment horizontal="center" vertical="center" wrapText="1"/>
    </xf>
    <xf numFmtId="3" fontId="4" fillId="0" borderId="9" xfId="0" applyNumberFormat="1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3" fontId="7" fillId="0" borderId="14" xfId="0" applyNumberFormat="1" applyFont="1" applyBorder="1" applyAlignment="1">
      <alignment horizontal="center" vertical="center"/>
    </xf>
    <xf numFmtId="3" fontId="11" fillId="0" borderId="47" xfId="0" applyNumberFormat="1" applyFont="1" applyBorder="1" applyAlignment="1">
      <alignment horizontal="center" vertical="center"/>
    </xf>
    <xf numFmtId="3" fontId="10" fillId="0" borderId="48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3" fontId="11" fillId="0" borderId="50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2" xfId="2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18" xfId="0" applyFont="1" applyBorder="1" applyAlignment="1">
      <alignment horizontal="right" vertical="center" wrapText="1"/>
    </xf>
    <xf numFmtId="0" fontId="4" fillId="0" borderId="2" xfId="0" quotePrefix="1" applyFont="1" applyBorder="1" applyAlignment="1">
      <alignment horizontal="left" vertical="center" wrapText="1"/>
    </xf>
    <xf numFmtId="0" fontId="4" fillId="0" borderId="58" xfId="0" quotePrefix="1" applyFont="1" applyBorder="1" applyAlignment="1">
      <alignment horizontal="left" vertical="center" wrapText="1"/>
    </xf>
    <xf numFmtId="0" fontId="7" fillId="0" borderId="24" xfId="0" applyFont="1" applyBorder="1" applyAlignment="1">
      <alignment horizontal="right" vertical="center"/>
    </xf>
    <xf numFmtId="0" fontId="7" fillId="0" borderId="19" xfId="0" applyFont="1" applyBorder="1" applyAlignment="1">
      <alignment horizontal="right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4" fillId="0" borderId="12" xfId="2" applyFont="1" applyBorder="1" applyAlignment="1">
      <alignment horizontal="left" vertical="top" wrapText="1"/>
    </xf>
    <xf numFmtId="0" fontId="4" fillId="0" borderId="9" xfId="2" applyFont="1" applyBorder="1" applyAlignment="1">
      <alignment horizontal="left" vertical="center" wrapText="1"/>
    </xf>
    <xf numFmtId="0" fontId="4" fillId="0" borderId="22" xfId="2" applyFont="1" applyBorder="1" applyAlignment="1">
      <alignment horizontal="left" vertical="center" wrapText="1"/>
    </xf>
    <xf numFmtId="0" fontId="4" fillId="0" borderId="23" xfId="2" applyFont="1" applyBorder="1" applyAlignment="1">
      <alignment horizontal="left" vertical="center" wrapText="1"/>
    </xf>
    <xf numFmtId="0" fontId="3" fillId="0" borderId="0" xfId="3" applyFont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21" xfId="0" quotePrefix="1" applyFont="1" applyBorder="1" applyAlignment="1">
      <alignment horizontal="left" vertical="center" wrapText="1"/>
    </xf>
    <xf numFmtId="0" fontId="7" fillId="0" borderId="32" xfId="0" applyFont="1" applyBorder="1" applyAlignment="1">
      <alignment horizontal="right" vertical="center"/>
    </xf>
    <xf numFmtId="0" fontId="7" fillId="0" borderId="30" xfId="0" applyFont="1" applyBorder="1" applyAlignment="1">
      <alignment horizontal="right" vertical="center"/>
    </xf>
    <xf numFmtId="0" fontId="7" fillId="0" borderId="3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4" xfId="1" applyFont="1" applyFill="1" applyBorder="1" applyAlignment="1" applyProtection="1">
      <alignment horizontal="left" vertical="center" wrapText="1"/>
    </xf>
    <xf numFmtId="0" fontId="4" fillId="0" borderId="13" xfId="1" applyFont="1" applyFill="1" applyBorder="1" applyAlignment="1" applyProtection="1">
      <alignment horizontal="left" vertical="center" wrapText="1"/>
    </xf>
    <xf numFmtId="0" fontId="4" fillId="0" borderId="21" xfId="2" applyFont="1" applyBorder="1" applyAlignment="1">
      <alignment horizontal="left" vertical="center" wrapText="1"/>
    </xf>
  </cellXfs>
  <cellStyles count="7">
    <cellStyle name="Įprastas" xfId="0" builtinId="0"/>
    <cellStyle name="Įprastas 2" xfId="2" xr:uid="{00000000-0005-0000-0000-000001000000}"/>
    <cellStyle name="Įprastas 3" xfId="3" xr:uid="{00000000-0005-0000-0000-000002000000}"/>
    <cellStyle name="Įvestis" xfId="1" builtinId="20"/>
    <cellStyle name="Įvestis 2" xfId="4" xr:uid="{00000000-0005-0000-0000-000004000000}"/>
    <cellStyle name="Normal_Sheet1" xfId="5" xr:uid="{00000000-0005-0000-0000-000005000000}"/>
    <cellStyle name="Paprastas 2" xfId="6" xr:uid="{00000000-0005-0000-0000-000006000000}"/>
  </cellStyles>
  <dxfs count="18"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numFmt numFmtId="165" formatCode="&quot;&quot;"/>
    </dxf>
    <dxf>
      <numFmt numFmtId="165" formatCode="&quot;&quot;"/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</font>
      <fill>
        <patternFill>
          <bgColor indexed="9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numFmt numFmtId="165" formatCode="&quot;&quot;"/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2"/>
  <sheetViews>
    <sheetView topLeftCell="A30" zoomScaleNormal="100" workbookViewId="0">
      <selection activeCell="M43" sqref="M43"/>
    </sheetView>
  </sheetViews>
  <sheetFormatPr defaultRowHeight="15" x14ac:dyDescent="0.25"/>
  <cols>
    <col min="2" max="2" width="50.42578125" customWidth="1"/>
    <col min="3" max="3" width="15.42578125" customWidth="1"/>
    <col min="4" max="4" width="11.7109375" customWidth="1"/>
    <col min="5" max="5" width="13" customWidth="1"/>
  </cols>
  <sheetData>
    <row r="1" spans="1:5" ht="18.75" customHeight="1" x14ac:dyDescent="0.25">
      <c r="A1" s="1"/>
      <c r="C1" s="25" t="s">
        <v>191</v>
      </c>
      <c r="D1" s="25"/>
      <c r="E1" s="25"/>
    </row>
    <row r="2" spans="1:5" ht="17.25" customHeight="1" x14ac:dyDescent="0.25">
      <c r="A2" s="1"/>
      <c r="B2" s="174" t="s">
        <v>188</v>
      </c>
      <c r="C2" s="174"/>
      <c r="D2" s="174"/>
      <c r="E2" s="174"/>
    </row>
    <row r="3" spans="1:5" x14ac:dyDescent="0.25">
      <c r="A3" s="1"/>
      <c r="B3" s="174" t="s">
        <v>203</v>
      </c>
      <c r="C3" s="174"/>
      <c r="D3" s="174"/>
      <c r="E3" s="174"/>
    </row>
    <row r="4" spans="1:5" x14ac:dyDescent="0.25">
      <c r="A4" s="1"/>
      <c r="B4" s="174" t="s">
        <v>189</v>
      </c>
      <c r="C4" s="174"/>
      <c r="D4" s="174"/>
      <c r="E4" s="174"/>
    </row>
    <row r="5" spans="1:5" x14ac:dyDescent="0.25">
      <c r="A5" s="1"/>
      <c r="B5" s="174" t="s">
        <v>217</v>
      </c>
      <c r="C5" s="174"/>
      <c r="D5" s="174"/>
      <c r="E5" s="174"/>
    </row>
    <row r="6" spans="1:5" x14ac:dyDescent="0.25">
      <c r="A6" s="1"/>
      <c r="B6" s="174" t="s">
        <v>192</v>
      </c>
      <c r="C6" s="174"/>
      <c r="D6" s="27"/>
      <c r="E6" s="27"/>
    </row>
    <row r="7" spans="1:5" x14ac:dyDescent="0.25">
      <c r="A7" s="3"/>
      <c r="B7" s="4"/>
      <c r="C7" s="5"/>
    </row>
    <row r="8" spans="1:5" ht="15.75" customHeight="1" x14ac:dyDescent="0.25">
      <c r="A8" s="175" t="s">
        <v>215</v>
      </c>
      <c r="B8" s="175"/>
      <c r="C8" s="175"/>
      <c r="D8" s="175"/>
    </row>
    <row r="9" spans="1:5" ht="15.75" customHeight="1" x14ac:dyDescent="0.25">
      <c r="A9" s="31"/>
      <c r="B9" s="31"/>
      <c r="C9" s="31"/>
      <c r="D9" s="31"/>
      <c r="E9" s="19" t="s">
        <v>186</v>
      </c>
    </row>
    <row r="10" spans="1:5" ht="15.75" customHeight="1" x14ac:dyDescent="0.25">
      <c r="A10" s="80" t="s">
        <v>0</v>
      </c>
      <c r="B10" s="81" t="s">
        <v>1</v>
      </c>
      <c r="C10" s="81" t="s">
        <v>204</v>
      </c>
      <c r="D10" s="60" t="s">
        <v>183</v>
      </c>
      <c r="E10" s="60" t="s">
        <v>184</v>
      </c>
    </row>
    <row r="11" spans="1:5" x14ac:dyDescent="0.25">
      <c r="A11" s="64" t="s">
        <v>2</v>
      </c>
      <c r="B11" s="6" t="s">
        <v>3</v>
      </c>
      <c r="C11" s="65">
        <v>46373000</v>
      </c>
      <c r="D11" s="60"/>
      <c r="E11" s="82">
        <f>C11+D11</f>
        <v>46373000</v>
      </c>
    </row>
    <row r="12" spans="1:5" x14ac:dyDescent="0.25">
      <c r="A12" s="64" t="s">
        <v>4</v>
      </c>
      <c r="B12" s="66" t="s">
        <v>5</v>
      </c>
      <c r="C12" s="65">
        <v>45000</v>
      </c>
      <c r="D12" s="23"/>
      <c r="E12" s="29">
        <f>C12+D12</f>
        <v>45000</v>
      </c>
    </row>
    <row r="13" spans="1:5" x14ac:dyDescent="0.25">
      <c r="A13" s="64" t="s">
        <v>6</v>
      </c>
      <c r="B13" s="6" t="s">
        <v>7</v>
      </c>
      <c r="C13" s="65">
        <f>C14+C15+C16+C17</f>
        <v>2718434</v>
      </c>
      <c r="D13" s="23"/>
      <c r="E13" s="29">
        <f t="shared" ref="E13:E48" si="0">C13+D13</f>
        <v>2718434</v>
      </c>
    </row>
    <row r="14" spans="1:5" x14ac:dyDescent="0.25">
      <c r="A14" s="64" t="s">
        <v>8</v>
      </c>
      <c r="B14" s="6" t="s">
        <v>9</v>
      </c>
      <c r="C14" s="65">
        <v>1016434</v>
      </c>
      <c r="D14" s="23"/>
      <c r="E14" s="29">
        <f t="shared" si="0"/>
        <v>1016434</v>
      </c>
    </row>
    <row r="15" spans="1:5" x14ac:dyDescent="0.25">
      <c r="A15" s="64" t="s">
        <v>10</v>
      </c>
      <c r="B15" s="6" t="s">
        <v>11</v>
      </c>
      <c r="C15" s="65">
        <v>12000</v>
      </c>
      <c r="D15" s="23"/>
      <c r="E15" s="29">
        <f t="shared" si="0"/>
        <v>12000</v>
      </c>
    </row>
    <row r="16" spans="1:5" x14ac:dyDescent="0.25">
      <c r="A16" s="64" t="s">
        <v>12</v>
      </c>
      <c r="B16" s="6" t="s">
        <v>13</v>
      </c>
      <c r="C16" s="65">
        <v>1500000</v>
      </c>
      <c r="D16" s="23"/>
      <c r="E16" s="29">
        <f t="shared" si="0"/>
        <v>1500000</v>
      </c>
    </row>
    <row r="17" spans="1:5" x14ac:dyDescent="0.25">
      <c r="A17" s="64" t="s">
        <v>14</v>
      </c>
      <c r="B17" s="6" t="s">
        <v>15</v>
      </c>
      <c r="C17" s="65">
        <v>190000</v>
      </c>
      <c r="D17" s="23"/>
      <c r="E17" s="29">
        <f t="shared" si="0"/>
        <v>190000</v>
      </c>
    </row>
    <row r="18" spans="1:5" x14ac:dyDescent="0.25">
      <c r="A18" s="64" t="s">
        <v>16</v>
      </c>
      <c r="B18" s="6" t="s">
        <v>17</v>
      </c>
      <c r="C18" s="65">
        <f>C19+C20+C21</f>
        <v>170000</v>
      </c>
      <c r="D18" s="23"/>
      <c r="E18" s="29">
        <f t="shared" si="0"/>
        <v>170000</v>
      </c>
    </row>
    <row r="19" spans="1:5" x14ac:dyDescent="0.25">
      <c r="A19" s="64" t="s">
        <v>18</v>
      </c>
      <c r="B19" s="6" t="s">
        <v>19</v>
      </c>
      <c r="C19" s="65">
        <v>50000</v>
      </c>
      <c r="D19" s="23"/>
      <c r="E19" s="29">
        <f t="shared" si="0"/>
        <v>50000</v>
      </c>
    </row>
    <row r="20" spans="1:5" x14ac:dyDescent="0.25">
      <c r="A20" s="64" t="s">
        <v>20</v>
      </c>
      <c r="B20" s="6" t="s">
        <v>21</v>
      </c>
      <c r="C20" s="65">
        <v>50000</v>
      </c>
      <c r="D20" s="23"/>
      <c r="E20" s="29">
        <f t="shared" si="0"/>
        <v>50000</v>
      </c>
    </row>
    <row r="21" spans="1:5" x14ac:dyDescent="0.25">
      <c r="A21" s="64" t="s">
        <v>22</v>
      </c>
      <c r="B21" s="6" t="s">
        <v>23</v>
      </c>
      <c r="C21" s="65">
        <v>70000</v>
      </c>
      <c r="D21" s="23"/>
      <c r="E21" s="29">
        <f t="shared" si="0"/>
        <v>70000</v>
      </c>
    </row>
    <row r="22" spans="1:5" x14ac:dyDescent="0.25">
      <c r="A22" s="67" t="s">
        <v>24</v>
      </c>
      <c r="B22" s="68" t="s">
        <v>25</v>
      </c>
      <c r="C22" s="69">
        <f>C11+C12+C13+C18</f>
        <v>49306434</v>
      </c>
      <c r="D22" s="23"/>
      <c r="E22" s="63">
        <f t="shared" si="0"/>
        <v>49306434</v>
      </c>
    </row>
    <row r="23" spans="1:5" x14ac:dyDescent="0.25">
      <c r="A23" s="64" t="s">
        <v>26</v>
      </c>
      <c r="B23" s="6" t="s">
        <v>27</v>
      </c>
      <c r="C23" s="65">
        <v>2230000</v>
      </c>
      <c r="D23" s="23"/>
      <c r="E23" s="29">
        <f t="shared" si="0"/>
        <v>2230000</v>
      </c>
    </row>
    <row r="24" spans="1:5" x14ac:dyDescent="0.25">
      <c r="A24" s="70" t="s">
        <v>28</v>
      </c>
      <c r="B24" s="6" t="s">
        <v>29</v>
      </c>
      <c r="C24" s="65">
        <v>2200000</v>
      </c>
      <c r="D24" s="23"/>
      <c r="E24" s="29">
        <f t="shared" si="0"/>
        <v>2200000</v>
      </c>
    </row>
    <row r="25" spans="1:5" x14ac:dyDescent="0.25">
      <c r="A25" s="64" t="s">
        <v>30</v>
      </c>
      <c r="B25" s="6" t="s">
        <v>31</v>
      </c>
      <c r="C25" s="71">
        <f>C26+C27+C28</f>
        <v>2526700</v>
      </c>
      <c r="D25" s="23"/>
      <c r="E25" s="29">
        <f t="shared" si="0"/>
        <v>2526700</v>
      </c>
    </row>
    <row r="26" spans="1:5" ht="30" x14ac:dyDescent="0.25">
      <c r="A26" s="70" t="s">
        <v>32</v>
      </c>
      <c r="B26" s="6" t="s">
        <v>33</v>
      </c>
      <c r="C26" s="20">
        <v>329300</v>
      </c>
      <c r="D26" s="23"/>
      <c r="E26" s="29">
        <f t="shared" si="0"/>
        <v>329300</v>
      </c>
    </row>
    <row r="27" spans="1:5" ht="30" x14ac:dyDescent="0.25">
      <c r="A27" s="70" t="s">
        <v>34</v>
      </c>
      <c r="B27" s="6" t="s">
        <v>35</v>
      </c>
      <c r="C27" s="20">
        <v>811700</v>
      </c>
      <c r="D27" s="23"/>
      <c r="E27" s="29">
        <f t="shared" si="0"/>
        <v>811700</v>
      </c>
    </row>
    <row r="28" spans="1:5" x14ac:dyDescent="0.25">
      <c r="A28" s="70" t="s">
        <v>36</v>
      </c>
      <c r="B28" s="6" t="s">
        <v>37</v>
      </c>
      <c r="C28" s="65">
        <v>1385700</v>
      </c>
      <c r="D28" s="23"/>
      <c r="E28" s="29">
        <f t="shared" si="0"/>
        <v>1385700</v>
      </c>
    </row>
    <row r="29" spans="1:5" x14ac:dyDescent="0.25">
      <c r="A29" s="70" t="s">
        <v>38</v>
      </c>
      <c r="B29" s="6" t="s">
        <v>205</v>
      </c>
      <c r="C29" s="65">
        <v>25000</v>
      </c>
      <c r="D29" s="23"/>
      <c r="E29" s="29">
        <f t="shared" si="0"/>
        <v>25000</v>
      </c>
    </row>
    <row r="30" spans="1:5" ht="30" x14ac:dyDescent="0.25">
      <c r="A30" s="64" t="s">
        <v>43</v>
      </c>
      <c r="B30" s="6" t="s">
        <v>39</v>
      </c>
      <c r="C30" s="20">
        <f>C31+C32+C33</f>
        <v>184000</v>
      </c>
      <c r="D30" s="20"/>
      <c r="E30" s="29">
        <f t="shared" si="0"/>
        <v>184000</v>
      </c>
    </row>
    <row r="31" spans="1:5" x14ac:dyDescent="0.25">
      <c r="A31" s="64" t="s">
        <v>206</v>
      </c>
      <c r="B31" s="6" t="s">
        <v>40</v>
      </c>
      <c r="C31" s="65">
        <v>104000</v>
      </c>
      <c r="D31" s="23"/>
      <c r="E31" s="29">
        <f t="shared" si="0"/>
        <v>104000</v>
      </c>
    </row>
    <row r="32" spans="1:5" x14ac:dyDescent="0.25">
      <c r="A32" s="64" t="s">
        <v>207</v>
      </c>
      <c r="B32" s="6" t="s">
        <v>41</v>
      </c>
      <c r="C32" s="65">
        <v>50000</v>
      </c>
      <c r="D32" s="23"/>
      <c r="E32" s="29">
        <f t="shared" si="0"/>
        <v>50000</v>
      </c>
    </row>
    <row r="33" spans="1:5" x14ac:dyDescent="0.25">
      <c r="A33" s="64" t="s">
        <v>208</v>
      </c>
      <c r="B33" s="6" t="s">
        <v>42</v>
      </c>
      <c r="C33" s="65">
        <v>30000</v>
      </c>
      <c r="D33" s="23"/>
      <c r="E33" s="29">
        <f t="shared" si="0"/>
        <v>30000</v>
      </c>
    </row>
    <row r="34" spans="1:5" x14ac:dyDescent="0.25">
      <c r="A34" s="64" t="s">
        <v>45</v>
      </c>
      <c r="B34" s="6" t="s">
        <v>44</v>
      </c>
      <c r="C34" s="65">
        <v>81000</v>
      </c>
      <c r="D34" s="23"/>
      <c r="E34" s="29">
        <f t="shared" si="0"/>
        <v>81000</v>
      </c>
    </row>
    <row r="35" spans="1:5" ht="30" x14ac:dyDescent="0.25">
      <c r="A35" s="64" t="s">
        <v>49</v>
      </c>
      <c r="B35" s="6" t="s">
        <v>46</v>
      </c>
      <c r="C35" s="20">
        <f>C36+C37</f>
        <v>183000</v>
      </c>
      <c r="D35" s="23"/>
      <c r="E35" s="29">
        <f t="shared" si="0"/>
        <v>183000</v>
      </c>
    </row>
    <row r="36" spans="1:5" x14ac:dyDescent="0.25">
      <c r="A36" s="64" t="s">
        <v>209</v>
      </c>
      <c r="B36" s="6" t="s">
        <v>47</v>
      </c>
      <c r="C36" s="65">
        <v>83000</v>
      </c>
      <c r="D36" s="23"/>
      <c r="E36" s="29">
        <f t="shared" si="0"/>
        <v>83000</v>
      </c>
    </row>
    <row r="37" spans="1:5" x14ac:dyDescent="0.25">
      <c r="A37" s="64" t="s">
        <v>210</v>
      </c>
      <c r="B37" s="6" t="s">
        <v>48</v>
      </c>
      <c r="C37" s="65">
        <v>100000</v>
      </c>
      <c r="D37" s="23"/>
      <c r="E37" s="29">
        <f t="shared" si="0"/>
        <v>100000</v>
      </c>
    </row>
    <row r="38" spans="1:5" ht="28.5" x14ac:dyDescent="0.25">
      <c r="A38" s="67" t="s">
        <v>50</v>
      </c>
      <c r="B38" s="68" t="s">
        <v>211</v>
      </c>
      <c r="C38" s="83">
        <f>C22+C23+C25+C29+C30+C34+C35</f>
        <v>54536134</v>
      </c>
      <c r="D38" s="23"/>
      <c r="E38" s="63">
        <f t="shared" si="0"/>
        <v>54536134</v>
      </c>
    </row>
    <row r="39" spans="1:5" ht="30" x14ac:dyDescent="0.25">
      <c r="A39" s="64" t="s">
        <v>52</v>
      </c>
      <c r="B39" s="6" t="s">
        <v>51</v>
      </c>
      <c r="C39" s="22">
        <v>5271517</v>
      </c>
      <c r="D39" s="21">
        <v>-20800</v>
      </c>
      <c r="E39" s="29">
        <f t="shared" si="0"/>
        <v>5250717</v>
      </c>
    </row>
    <row r="40" spans="1:5" x14ac:dyDescent="0.25">
      <c r="A40" s="64" t="s">
        <v>54</v>
      </c>
      <c r="B40" s="6" t="s">
        <v>53</v>
      </c>
      <c r="C40" s="73">
        <v>24720735</v>
      </c>
      <c r="D40" s="23"/>
      <c r="E40" s="29">
        <f t="shared" si="0"/>
        <v>24720735</v>
      </c>
    </row>
    <row r="41" spans="1:5" ht="30" x14ac:dyDescent="0.25">
      <c r="A41" s="74" t="s">
        <v>56</v>
      </c>
      <c r="B41" s="7" t="s">
        <v>55</v>
      </c>
      <c r="C41" s="22">
        <v>3425783</v>
      </c>
      <c r="D41" s="29">
        <v>216484</v>
      </c>
      <c r="E41" s="29">
        <f t="shared" si="0"/>
        <v>3642267</v>
      </c>
    </row>
    <row r="42" spans="1:5" ht="18" customHeight="1" x14ac:dyDescent="0.25">
      <c r="A42" s="64" t="s">
        <v>58</v>
      </c>
      <c r="B42" s="6" t="s">
        <v>57</v>
      </c>
      <c r="C42" s="71">
        <v>2531200</v>
      </c>
      <c r="D42" s="29"/>
      <c r="E42" s="29">
        <f t="shared" si="0"/>
        <v>2531200</v>
      </c>
    </row>
    <row r="43" spans="1:5" ht="45" x14ac:dyDescent="0.25">
      <c r="A43" s="64" t="s">
        <v>60</v>
      </c>
      <c r="B43" s="6" t="s">
        <v>59</v>
      </c>
      <c r="C43" s="21">
        <v>4956093</v>
      </c>
      <c r="D43" s="29">
        <v>14090</v>
      </c>
      <c r="E43" s="29">
        <f t="shared" si="0"/>
        <v>4970183</v>
      </c>
    </row>
    <row r="44" spans="1:5" x14ac:dyDescent="0.25">
      <c r="A44" s="67" t="s">
        <v>61</v>
      </c>
      <c r="B44" s="68" t="s">
        <v>212</v>
      </c>
      <c r="C44" s="69">
        <f>C39+C40+C41+C42+C43</f>
        <v>40905328</v>
      </c>
      <c r="D44" s="69">
        <f>D39+D40+D41+D42+D43</f>
        <v>209774</v>
      </c>
      <c r="E44" s="63">
        <f>C44+D44</f>
        <v>41115102</v>
      </c>
    </row>
    <row r="45" spans="1:5" x14ac:dyDescent="0.25">
      <c r="A45" s="67" t="s">
        <v>62</v>
      </c>
      <c r="B45" s="68" t="s">
        <v>213</v>
      </c>
      <c r="C45" s="72">
        <f>C38+C44</f>
        <v>95441462</v>
      </c>
      <c r="D45" s="72">
        <f>D38+D44</f>
        <v>209774</v>
      </c>
      <c r="E45" s="63">
        <f t="shared" si="0"/>
        <v>95651236</v>
      </c>
    </row>
    <row r="46" spans="1:5" x14ac:dyDescent="0.25">
      <c r="A46" s="64" t="s">
        <v>64</v>
      </c>
      <c r="B46" s="6" t="s">
        <v>63</v>
      </c>
      <c r="C46" s="65">
        <v>1227800</v>
      </c>
      <c r="D46" s="21"/>
      <c r="E46" s="29">
        <f t="shared" si="0"/>
        <v>1227800</v>
      </c>
    </row>
    <row r="47" spans="1:5" x14ac:dyDescent="0.25">
      <c r="A47" s="64" t="s">
        <v>66</v>
      </c>
      <c r="B47" s="6" t="s">
        <v>65</v>
      </c>
      <c r="C47" s="65">
        <v>6178230</v>
      </c>
      <c r="D47" s="23"/>
      <c r="E47" s="29">
        <f t="shared" si="0"/>
        <v>6178230</v>
      </c>
    </row>
    <row r="48" spans="1:5" x14ac:dyDescent="0.25">
      <c r="A48" s="67" t="s">
        <v>116</v>
      </c>
      <c r="B48" s="68" t="s">
        <v>214</v>
      </c>
      <c r="C48" s="69">
        <f>C45+C46+C47</f>
        <v>102847492</v>
      </c>
      <c r="D48" s="69">
        <f>D45+D46+D47</f>
        <v>209774</v>
      </c>
      <c r="E48" s="63">
        <f t="shared" si="0"/>
        <v>103057266</v>
      </c>
    </row>
    <row r="49" spans="1:5" x14ac:dyDescent="0.25">
      <c r="A49" s="75"/>
      <c r="B49" s="76"/>
      <c r="C49" s="77"/>
      <c r="D49" s="78"/>
      <c r="E49" s="79"/>
    </row>
    <row r="50" spans="1:5" x14ac:dyDescent="0.25">
      <c r="A50" s="51"/>
      <c r="B50" s="51"/>
      <c r="C50" s="51"/>
      <c r="D50" s="51"/>
      <c r="E50" s="51"/>
    </row>
    <row r="51" spans="1:5" x14ac:dyDescent="0.25">
      <c r="A51" s="51"/>
      <c r="B51" s="51"/>
      <c r="C51" s="51"/>
      <c r="D51" s="51"/>
      <c r="E51" s="51"/>
    </row>
    <row r="52" spans="1:5" x14ac:dyDescent="0.25">
      <c r="B52" s="24"/>
    </row>
  </sheetData>
  <mergeCells count="6">
    <mergeCell ref="B6:C6"/>
    <mergeCell ref="A8:D8"/>
    <mergeCell ref="B2:E2"/>
    <mergeCell ref="B3:E3"/>
    <mergeCell ref="B4:E4"/>
    <mergeCell ref="B5:E5"/>
  </mergeCells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51"/>
  <sheetViews>
    <sheetView tabSelected="1" topLeftCell="A213" zoomScaleNormal="100" workbookViewId="0">
      <selection activeCell="M241" sqref="M241"/>
    </sheetView>
  </sheetViews>
  <sheetFormatPr defaultRowHeight="15" x14ac:dyDescent="0.25"/>
  <cols>
    <col min="1" max="1" width="4.42578125" customWidth="1"/>
    <col min="2" max="2" width="17.140625" customWidth="1"/>
    <col min="3" max="3" width="20.140625" customWidth="1"/>
    <col min="4" max="4" width="10.7109375" customWidth="1"/>
    <col min="5" max="5" width="14" customWidth="1"/>
    <col min="6" max="6" width="10.5703125" customWidth="1"/>
    <col min="7" max="7" width="11.28515625" customWidth="1"/>
  </cols>
  <sheetData>
    <row r="1" spans="1:7" ht="17.25" customHeight="1" x14ac:dyDescent="0.25">
      <c r="A1" s="8"/>
      <c r="C1" s="25" t="s">
        <v>187</v>
      </c>
      <c r="D1" s="25"/>
      <c r="E1" s="25"/>
      <c r="F1" s="28"/>
      <c r="G1" s="28"/>
    </row>
    <row r="2" spans="1:7" ht="14.25" customHeight="1" x14ac:dyDescent="0.25">
      <c r="A2" s="8"/>
      <c r="B2" s="4" t="s">
        <v>188</v>
      </c>
      <c r="C2" s="5"/>
      <c r="D2" s="27"/>
      <c r="E2" s="27"/>
      <c r="F2" s="26"/>
      <c r="G2" s="26"/>
    </row>
    <row r="3" spans="1:7" ht="15.75" customHeight="1" x14ac:dyDescent="0.25">
      <c r="A3" s="8"/>
      <c r="B3" s="4" t="s">
        <v>193</v>
      </c>
      <c r="C3" s="5"/>
      <c r="D3" s="27"/>
      <c r="E3" s="27"/>
      <c r="F3" s="26"/>
      <c r="G3" s="26"/>
    </row>
    <row r="4" spans="1:7" ht="15.75" customHeight="1" x14ac:dyDescent="0.25">
      <c r="A4" s="8"/>
      <c r="B4" s="4" t="s">
        <v>189</v>
      </c>
      <c r="C4" s="5"/>
      <c r="D4" s="27"/>
      <c r="E4" s="27"/>
      <c r="F4" s="26"/>
      <c r="G4" s="26"/>
    </row>
    <row r="5" spans="1:7" ht="15.75" customHeight="1" x14ac:dyDescent="0.25">
      <c r="A5" s="8"/>
      <c r="B5" s="4" t="s">
        <v>218</v>
      </c>
      <c r="C5" s="5"/>
      <c r="D5" s="27"/>
      <c r="E5" s="27"/>
      <c r="F5" s="26"/>
      <c r="G5" s="26"/>
    </row>
    <row r="6" spans="1:7" ht="15.75" customHeight="1" x14ac:dyDescent="0.25">
      <c r="A6" s="8"/>
      <c r="B6" s="4" t="s">
        <v>190</v>
      </c>
      <c r="C6" s="5"/>
      <c r="D6" s="27"/>
      <c r="E6" s="27"/>
      <c r="F6" s="26"/>
      <c r="G6" s="26"/>
    </row>
    <row r="7" spans="1:7" ht="15.75" customHeight="1" x14ac:dyDescent="0.25">
      <c r="A7" s="8"/>
      <c r="B7" s="9"/>
      <c r="C7" s="9"/>
      <c r="D7" s="2"/>
      <c r="E7" s="2"/>
    </row>
    <row r="8" spans="1:7" ht="15.75" customHeight="1" x14ac:dyDescent="0.25">
      <c r="A8" s="195" t="s">
        <v>194</v>
      </c>
      <c r="B8" s="195"/>
      <c r="C8" s="195"/>
      <c r="D8" s="195"/>
      <c r="E8" s="195"/>
      <c r="F8" s="195"/>
      <c r="G8" s="195"/>
    </row>
    <row r="9" spans="1:7" ht="15.75" thickBot="1" x14ac:dyDescent="0.3">
      <c r="A9" s="33"/>
      <c r="B9" s="35"/>
      <c r="C9" s="35"/>
      <c r="D9" s="36"/>
      <c r="E9" s="34"/>
      <c r="F9" s="52"/>
      <c r="G9" s="53"/>
    </row>
    <row r="10" spans="1:7" ht="24.75" thickBot="1" x14ac:dyDescent="0.3">
      <c r="A10" s="89" t="s">
        <v>0</v>
      </c>
      <c r="B10" s="32" t="s">
        <v>67</v>
      </c>
      <c r="C10" s="32" t="s">
        <v>68</v>
      </c>
      <c r="D10" s="32" t="s">
        <v>69</v>
      </c>
      <c r="E10" s="90" t="s">
        <v>185</v>
      </c>
      <c r="F10" s="151" t="s">
        <v>183</v>
      </c>
      <c r="G10" s="150" t="s">
        <v>184</v>
      </c>
    </row>
    <row r="11" spans="1:7" ht="36" x14ac:dyDescent="0.25">
      <c r="A11" s="180" t="s">
        <v>2</v>
      </c>
      <c r="B11" s="10" t="s">
        <v>70</v>
      </c>
      <c r="C11" s="46" t="s">
        <v>71</v>
      </c>
      <c r="D11" s="88" t="s">
        <v>72</v>
      </c>
      <c r="E11" s="107">
        <v>124441</v>
      </c>
      <c r="F11" s="125"/>
      <c r="G11" s="140">
        <f>E11+F11</f>
        <v>124441</v>
      </c>
    </row>
    <row r="12" spans="1:7" ht="24.75" thickBot="1" x14ac:dyDescent="0.3">
      <c r="A12" s="182"/>
      <c r="B12" s="37" t="s">
        <v>73</v>
      </c>
      <c r="C12" s="38"/>
      <c r="D12" s="39"/>
      <c r="E12" s="108">
        <f>SUBTOTAL(9,E11:E11)</f>
        <v>124441</v>
      </c>
      <c r="F12" s="126"/>
      <c r="G12" s="120">
        <f t="shared" ref="G12:G78" si="0">E12+F12</f>
        <v>124441</v>
      </c>
    </row>
    <row r="13" spans="1:7" ht="15" customHeight="1" x14ac:dyDescent="0.25">
      <c r="A13" s="196" t="s">
        <v>4</v>
      </c>
      <c r="B13" s="202" t="s">
        <v>74</v>
      </c>
      <c r="C13" s="176" t="s">
        <v>71</v>
      </c>
      <c r="D13" s="88" t="s">
        <v>72</v>
      </c>
      <c r="E13" s="122">
        <v>7654326</v>
      </c>
      <c r="F13" s="127"/>
      <c r="G13" s="102">
        <f t="shared" si="0"/>
        <v>7654326</v>
      </c>
    </row>
    <row r="14" spans="1:7" x14ac:dyDescent="0.25">
      <c r="A14" s="197"/>
      <c r="B14" s="203"/>
      <c r="C14" s="177"/>
      <c r="D14" s="13" t="s">
        <v>75</v>
      </c>
      <c r="E14" s="123">
        <v>99700</v>
      </c>
      <c r="F14" s="128"/>
      <c r="G14" s="104">
        <f t="shared" si="0"/>
        <v>99700</v>
      </c>
    </row>
    <row r="15" spans="1:7" x14ac:dyDescent="0.25">
      <c r="A15" s="197"/>
      <c r="B15" s="203"/>
      <c r="C15" s="177"/>
      <c r="D15" s="13" t="s">
        <v>76</v>
      </c>
      <c r="E15" s="123">
        <v>269719</v>
      </c>
      <c r="F15" s="129"/>
      <c r="G15" s="104">
        <f t="shared" si="0"/>
        <v>269719</v>
      </c>
    </row>
    <row r="16" spans="1:7" x14ac:dyDescent="0.25">
      <c r="A16" s="197"/>
      <c r="B16" s="203"/>
      <c r="C16" s="177"/>
      <c r="D16" s="13" t="s">
        <v>77</v>
      </c>
      <c r="E16" s="123">
        <v>25770</v>
      </c>
      <c r="F16" s="128"/>
      <c r="G16" s="104">
        <f t="shared" si="0"/>
        <v>25770</v>
      </c>
    </row>
    <row r="17" spans="1:7" x14ac:dyDescent="0.25">
      <c r="A17" s="197"/>
      <c r="B17" s="203"/>
      <c r="C17" s="177"/>
      <c r="D17" s="13" t="s">
        <v>81</v>
      </c>
      <c r="E17" s="123">
        <v>4550</v>
      </c>
      <c r="F17" s="128"/>
      <c r="G17" s="104">
        <f t="shared" si="0"/>
        <v>4550</v>
      </c>
    </row>
    <row r="18" spans="1:7" x14ac:dyDescent="0.25">
      <c r="A18" s="197"/>
      <c r="B18" s="203"/>
      <c r="C18" s="178"/>
      <c r="D18" s="13" t="s">
        <v>93</v>
      </c>
      <c r="E18" s="123">
        <v>24419</v>
      </c>
      <c r="F18" s="128"/>
      <c r="G18" s="104">
        <f t="shared" si="0"/>
        <v>24419</v>
      </c>
    </row>
    <row r="19" spans="1:7" x14ac:dyDescent="0.25">
      <c r="A19" s="197"/>
      <c r="B19" s="203"/>
      <c r="C19" s="47" t="s">
        <v>195</v>
      </c>
      <c r="D19" s="14"/>
      <c r="E19" s="117">
        <f>SUBTOTAL(9,E13:E18)</f>
        <v>8078484</v>
      </c>
      <c r="F19" s="110">
        <f>SUBTOTAL(9,F13:F18)</f>
        <v>0</v>
      </c>
      <c r="G19" s="103">
        <f t="shared" si="0"/>
        <v>8078484</v>
      </c>
    </row>
    <row r="20" spans="1:7" x14ac:dyDescent="0.25">
      <c r="A20" s="197"/>
      <c r="B20" s="203"/>
      <c r="C20" s="199" t="s">
        <v>78</v>
      </c>
      <c r="D20" s="13" t="s">
        <v>72</v>
      </c>
      <c r="E20" s="123">
        <v>1610000</v>
      </c>
      <c r="F20" s="112"/>
      <c r="G20" s="104">
        <f t="shared" si="0"/>
        <v>1610000</v>
      </c>
    </row>
    <row r="21" spans="1:7" ht="15" customHeight="1" x14ac:dyDescent="0.25">
      <c r="A21" s="197"/>
      <c r="B21" s="203"/>
      <c r="C21" s="177"/>
      <c r="D21" s="13" t="s">
        <v>75</v>
      </c>
      <c r="E21" s="123">
        <v>241900</v>
      </c>
      <c r="F21" s="129"/>
      <c r="G21" s="104">
        <f t="shared" si="0"/>
        <v>241900</v>
      </c>
    </row>
    <row r="22" spans="1:7" x14ac:dyDescent="0.25">
      <c r="A22" s="197"/>
      <c r="B22" s="203"/>
      <c r="C22" s="47" t="s">
        <v>195</v>
      </c>
      <c r="D22" s="14"/>
      <c r="E22" s="117">
        <f>SUM(E20:E21)</f>
        <v>1851900</v>
      </c>
      <c r="F22" s="117">
        <f>SUM(F20:F21)</f>
        <v>0</v>
      </c>
      <c r="G22" s="103">
        <f t="shared" si="0"/>
        <v>1851900</v>
      </c>
    </row>
    <row r="23" spans="1:7" x14ac:dyDescent="0.25">
      <c r="A23" s="197"/>
      <c r="B23" s="203"/>
      <c r="C23" s="204" t="s">
        <v>80</v>
      </c>
      <c r="D23" s="13" t="s">
        <v>72</v>
      </c>
      <c r="E23" s="123">
        <f>580000</f>
        <v>580000</v>
      </c>
      <c r="F23" s="128"/>
      <c r="G23" s="104">
        <f t="shared" si="0"/>
        <v>580000</v>
      </c>
    </row>
    <row r="24" spans="1:7" x14ac:dyDescent="0.25">
      <c r="A24" s="197"/>
      <c r="B24" s="203"/>
      <c r="C24" s="181"/>
      <c r="D24" s="13" t="s">
        <v>76</v>
      </c>
      <c r="E24" s="123">
        <v>463400</v>
      </c>
      <c r="F24" s="128"/>
      <c r="G24" s="104">
        <f t="shared" si="0"/>
        <v>463400</v>
      </c>
    </row>
    <row r="25" spans="1:7" x14ac:dyDescent="0.25">
      <c r="A25" s="197"/>
      <c r="B25" s="203"/>
      <c r="C25" s="181"/>
      <c r="D25" s="13" t="s">
        <v>82</v>
      </c>
      <c r="E25" s="123">
        <v>324000</v>
      </c>
      <c r="F25" s="129"/>
      <c r="G25" s="104">
        <f t="shared" si="0"/>
        <v>324000</v>
      </c>
    </row>
    <row r="26" spans="1:7" x14ac:dyDescent="0.25">
      <c r="A26" s="197"/>
      <c r="B26" s="203"/>
      <c r="C26" s="181"/>
      <c r="D26" s="13" t="s">
        <v>81</v>
      </c>
      <c r="E26" s="123">
        <v>44000</v>
      </c>
      <c r="F26" s="129"/>
      <c r="G26" s="104">
        <f t="shared" si="0"/>
        <v>44000</v>
      </c>
    </row>
    <row r="27" spans="1:7" x14ac:dyDescent="0.25">
      <c r="A27" s="197"/>
      <c r="B27" s="203"/>
      <c r="C27" s="205"/>
      <c r="D27" s="13" t="s">
        <v>93</v>
      </c>
      <c r="E27" s="123">
        <v>469268</v>
      </c>
      <c r="F27" s="129"/>
      <c r="G27" s="104">
        <f t="shared" si="0"/>
        <v>469268</v>
      </c>
    </row>
    <row r="28" spans="1:7" x14ac:dyDescent="0.25">
      <c r="A28" s="197"/>
      <c r="B28" s="203"/>
      <c r="C28" s="47" t="s">
        <v>195</v>
      </c>
      <c r="D28" s="14"/>
      <c r="E28" s="117">
        <f>SUBTOTAL(9,E23:E27)</f>
        <v>1880668</v>
      </c>
      <c r="F28" s="117">
        <f>SUBTOTAL(9,F23:F27)</f>
        <v>0</v>
      </c>
      <c r="G28" s="103">
        <f t="shared" si="0"/>
        <v>1880668</v>
      </c>
    </row>
    <row r="29" spans="1:7" ht="15" customHeight="1" x14ac:dyDescent="0.25">
      <c r="A29" s="197"/>
      <c r="B29" s="203"/>
      <c r="C29" s="200" t="s">
        <v>83</v>
      </c>
      <c r="D29" s="13" t="s">
        <v>72</v>
      </c>
      <c r="E29" s="123">
        <v>5675221</v>
      </c>
      <c r="F29" s="128"/>
      <c r="G29" s="104">
        <f t="shared" si="0"/>
        <v>5675221</v>
      </c>
    </row>
    <row r="30" spans="1:7" x14ac:dyDescent="0.25">
      <c r="A30" s="197"/>
      <c r="B30" s="203"/>
      <c r="C30" s="201"/>
      <c r="D30" s="13" t="s">
        <v>84</v>
      </c>
      <c r="E30" s="123">
        <v>1227800</v>
      </c>
      <c r="F30" s="110"/>
      <c r="G30" s="104">
        <f t="shared" si="0"/>
        <v>1227800</v>
      </c>
    </row>
    <row r="31" spans="1:7" ht="15" customHeight="1" x14ac:dyDescent="0.25">
      <c r="A31" s="197"/>
      <c r="B31" s="203"/>
      <c r="C31" s="201"/>
      <c r="D31" s="13" t="s">
        <v>85</v>
      </c>
      <c r="E31" s="123">
        <v>575000</v>
      </c>
      <c r="F31" s="128"/>
      <c r="G31" s="104">
        <f t="shared" si="0"/>
        <v>575000</v>
      </c>
    </row>
    <row r="32" spans="1:7" x14ac:dyDescent="0.25">
      <c r="A32" s="197"/>
      <c r="B32" s="203"/>
      <c r="C32" s="201"/>
      <c r="D32" s="13" t="s">
        <v>79</v>
      </c>
      <c r="E32" s="123">
        <v>474000</v>
      </c>
      <c r="F32" s="128"/>
      <c r="G32" s="104">
        <f t="shared" si="0"/>
        <v>474000</v>
      </c>
    </row>
    <row r="33" spans="1:9" x14ac:dyDescent="0.25">
      <c r="A33" s="197"/>
      <c r="B33" s="203"/>
      <c r="C33" s="201"/>
      <c r="D33" s="13" t="s">
        <v>81</v>
      </c>
      <c r="E33" s="123">
        <v>317304</v>
      </c>
      <c r="F33" s="129"/>
      <c r="G33" s="104">
        <f t="shared" si="0"/>
        <v>317304</v>
      </c>
      <c r="H33" s="147"/>
      <c r="I33" s="147"/>
    </row>
    <row r="34" spans="1:9" x14ac:dyDescent="0.25">
      <c r="A34" s="197"/>
      <c r="B34" s="203"/>
      <c r="C34" s="201"/>
      <c r="D34" s="13" t="s">
        <v>93</v>
      </c>
      <c r="E34" s="123">
        <v>697000</v>
      </c>
      <c r="F34" s="129">
        <v>148178</v>
      </c>
      <c r="G34" s="104">
        <f t="shared" si="0"/>
        <v>845178</v>
      </c>
    </row>
    <row r="35" spans="1:9" x14ac:dyDescent="0.25">
      <c r="A35" s="197"/>
      <c r="B35" s="203"/>
      <c r="C35" s="201"/>
      <c r="D35" s="13" t="s">
        <v>82</v>
      </c>
      <c r="E35" s="123">
        <v>4339050</v>
      </c>
      <c r="F35" s="110"/>
      <c r="G35" s="104">
        <f t="shared" si="0"/>
        <v>4339050</v>
      </c>
    </row>
    <row r="36" spans="1:9" ht="15" customHeight="1" x14ac:dyDescent="0.25">
      <c r="A36" s="197"/>
      <c r="B36" s="203"/>
      <c r="C36" s="47" t="s">
        <v>195</v>
      </c>
      <c r="D36" s="14"/>
      <c r="E36" s="117">
        <f t="shared" ref="E36:F36" si="1">SUBTOTAL(9,E29:E35)</f>
        <v>13305375</v>
      </c>
      <c r="F36" s="117">
        <f t="shared" si="1"/>
        <v>148178</v>
      </c>
      <c r="G36" s="103">
        <f t="shared" si="0"/>
        <v>13453553</v>
      </c>
    </row>
    <row r="37" spans="1:9" ht="15" customHeight="1" x14ac:dyDescent="0.25">
      <c r="A37" s="197"/>
      <c r="B37" s="203"/>
      <c r="C37" s="199" t="s">
        <v>86</v>
      </c>
      <c r="D37" s="13" t="s">
        <v>72</v>
      </c>
      <c r="E37" s="123">
        <v>9580300</v>
      </c>
      <c r="F37" s="128"/>
      <c r="G37" s="104">
        <f t="shared" si="0"/>
        <v>9580300</v>
      </c>
    </row>
    <row r="38" spans="1:9" x14ac:dyDescent="0.25">
      <c r="A38" s="197"/>
      <c r="B38" s="203"/>
      <c r="C38" s="177"/>
      <c r="D38" s="13" t="s">
        <v>87</v>
      </c>
      <c r="E38" s="123">
        <v>74300</v>
      </c>
      <c r="F38" s="110"/>
      <c r="G38" s="104">
        <f t="shared" si="0"/>
        <v>74300</v>
      </c>
    </row>
    <row r="39" spans="1:9" x14ac:dyDescent="0.25">
      <c r="A39" s="197"/>
      <c r="B39" s="203"/>
      <c r="C39" s="177"/>
      <c r="D39" s="13" t="s">
        <v>88</v>
      </c>
      <c r="E39" s="123">
        <v>280364</v>
      </c>
      <c r="F39" s="128"/>
      <c r="G39" s="104">
        <f t="shared" si="0"/>
        <v>280364</v>
      </c>
    </row>
    <row r="40" spans="1:9" x14ac:dyDescent="0.25">
      <c r="A40" s="197"/>
      <c r="B40" s="203"/>
      <c r="C40" s="177"/>
      <c r="D40" s="13" t="s">
        <v>196</v>
      </c>
      <c r="E40" s="123">
        <v>2531200</v>
      </c>
      <c r="F40" s="129"/>
      <c r="G40" s="104">
        <f t="shared" si="0"/>
        <v>2531200</v>
      </c>
    </row>
    <row r="41" spans="1:9" x14ac:dyDescent="0.25">
      <c r="A41" s="197"/>
      <c r="B41" s="203"/>
      <c r="C41" s="177"/>
      <c r="D41" s="13" t="s">
        <v>77</v>
      </c>
      <c r="E41" s="123">
        <v>54000</v>
      </c>
      <c r="F41" s="128"/>
      <c r="G41" s="104">
        <f t="shared" si="0"/>
        <v>54000</v>
      </c>
    </row>
    <row r="42" spans="1:9" x14ac:dyDescent="0.25">
      <c r="A42" s="197"/>
      <c r="B42" s="203"/>
      <c r="C42" s="178"/>
      <c r="D42" s="13" t="s">
        <v>81</v>
      </c>
      <c r="E42" s="123">
        <v>11400</v>
      </c>
      <c r="F42" s="128"/>
      <c r="G42" s="104">
        <f t="shared" si="0"/>
        <v>11400</v>
      </c>
    </row>
    <row r="43" spans="1:9" x14ac:dyDescent="0.25">
      <c r="A43" s="197"/>
      <c r="B43" s="203"/>
      <c r="C43" s="47" t="s">
        <v>195</v>
      </c>
      <c r="D43" s="14"/>
      <c r="E43" s="117">
        <f>SUBTOTAL(9,E37:E42)</f>
        <v>12531564</v>
      </c>
      <c r="F43" s="117">
        <f>SUBTOTAL(9,F37:F42)</f>
        <v>0</v>
      </c>
      <c r="G43" s="103">
        <f t="shared" si="0"/>
        <v>12531564</v>
      </c>
    </row>
    <row r="44" spans="1:9" ht="15" customHeight="1" x14ac:dyDescent="0.25">
      <c r="A44" s="197"/>
      <c r="B44" s="203"/>
      <c r="C44" s="199" t="s">
        <v>89</v>
      </c>
      <c r="D44" s="13" t="s">
        <v>72</v>
      </c>
      <c r="E44" s="123">
        <v>300734</v>
      </c>
      <c r="F44" s="129"/>
      <c r="G44" s="104">
        <f t="shared" si="0"/>
        <v>300734</v>
      </c>
    </row>
    <row r="45" spans="1:9" x14ac:dyDescent="0.25">
      <c r="A45" s="197"/>
      <c r="B45" s="203"/>
      <c r="C45" s="178"/>
      <c r="D45" s="13" t="s">
        <v>88</v>
      </c>
      <c r="E45" s="123">
        <v>49566</v>
      </c>
      <c r="F45" s="129"/>
      <c r="G45" s="104">
        <f t="shared" si="0"/>
        <v>49566</v>
      </c>
    </row>
    <row r="46" spans="1:9" x14ac:dyDescent="0.25">
      <c r="A46" s="197"/>
      <c r="B46" s="203"/>
      <c r="C46" s="47" t="s">
        <v>195</v>
      </c>
      <c r="D46" s="14"/>
      <c r="E46" s="117">
        <f>SUBTOTAL(9,E44:E45)</f>
        <v>350300</v>
      </c>
      <c r="F46" s="128"/>
      <c r="G46" s="103">
        <f t="shared" si="0"/>
        <v>350300</v>
      </c>
    </row>
    <row r="47" spans="1:9" x14ac:dyDescent="0.25">
      <c r="A47" s="197"/>
      <c r="B47" s="203"/>
      <c r="C47" s="86" t="s">
        <v>90</v>
      </c>
      <c r="D47" s="13" t="s">
        <v>72</v>
      </c>
      <c r="E47" s="123">
        <v>567000</v>
      </c>
      <c r="F47" s="110"/>
      <c r="G47" s="104">
        <f t="shared" si="0"/>
        <v>567000</v>
      </c>
    </row>
    <row r="48" spans="1:9" ht="15" customHeight="1" x14ac:dyDescent="0.25">
      <c r="A48" s="197"/>
      <c r="B48" s="203"/>
      <c r="C48" s="47" t="s">
        <v>195</v>
      </c>
      <c r="D48" s="14"/>
      <c r="E48" s="117">
        <f>SUBTOTAL(9,E47:E47)</f>
        <v>567000</v>
      </c>
      <c r="F48" s="128"/>
      <c r="G48" s="103">
        <f t="shared" si="0"/>
        <v>567000</v>
      </c>
    </row>
    <row r="49" spans="1:7" x14ac:dyDescent="0.25">
      <c r="A49" s="197"/>
      <c r="B49" s="203"/>
      <c r="C49" s="200" t="s">
        <v>91</v>
      </c>
      <c r="D49" s="13" t="s">
        <v>72</v>
      </c>
      <c r="E49" s="123">
        <v>1250300</v>
      </c>
      <c r="F49" s="129"/>
      <c r="G49" s="104">
        <f t="shared" si="0"/>
        <v>1250300</v>
      </c>
    </row>
    <row r="50" spans="1:7" x14ac:dyDescent="0.25">
      <c r="A50" s="197"/>
      <c r="B50" s="203"/>
      <c r="C50" s="201"/>
      <c r="D50" s="13" t="s">
        <v>92</v>
      </c>
      <c r="E50" s="123">
        <v>650103</v>
      </c>
      <c r="F50" s="129"/>
      <c r="G50" s="104">
        <f t="shared" si="0"/>
        <v>650103</v>
      </c>
    </row>
    <row r="51" spans="1:7" x14ac:dyDescent="0.25">
      <c r="A51" s="197"/>
      <c r="B51" s="203"/>
      <c r="C51" s="201"/>
      <c r="D51" s="13" t="s">
        <v>81</v>
      </c>
      <c r="E51" s="123">
        <v>256822</v>
      </c>
      <c r="F51" s="129"/>
      <c r="G51" s="104">
        <f t="shared" si="0"/>
        <v>256822</v>
      </c>
    </row>
    <row r="52" spans="1:7" x14ac:dyDescent="0.25">
      <c r="A52" s="197"/>
      <c r="B52" s="203"/>
      <c r="C52" s="201"/>
      <c r="D52" s="13" t="s">
        <v>93</v>
      </c>
      <c r="E52" s="123">
        <v>332747</v>
      </c>
      <c r="F52" s="129"/>
      <c r="G52" s="104">
        <f t="shared" si="0"/>
        <v>332747</v>
      </c>
    </row>
    <row r="53" spans="1:7" x14ac:dyDescent="0.25">
      <c r="A53" s="197"/>
      <c r="B53" s="203"/>
      <c r="C53" s="201"/>
      <c r="D53" s="13" t="s">
        <v>77</v>
      </c>
      <c r="E53" s="123">
        <v>166659</v>
      </c>
      <c r="F53" s="129"/>
      <c r="G53" s="104">
        <f t="shared" si="0"/>
        <v>166659</v>
      </c>
    </row>
    <row r="54" spans="1:7" ht="24" x14ac:dyDescent="0.25">
      <c r="A54" s="197"/>
      <c r="B54" s="203"/>
      <c r="C54" s="86" t="s">
        <v>94</v>
      </c>
      <c r="D54" s="87" t="s">
        <v>92</v>
      </c>
      <c r="E54" s="124">
        <f>3384064</f>
        <v>3384064</v>
      </c>
      <c r="F54" s="128"/>
      <c r="G54" s="104">
        <f t="shared" si="0"/>
        <v>3384064</v>
      </c>
    </row>
    <row r="55" spans="1:7" x14ac:dyDescent="0.25">
      <c r="A55" s="197"/>
      <c r="B55" s="203"/>
      <c r="C55" s="47" t="s">
        <v>195</v>
      </c>
      <c r="D55" s="14"/>
      <c r="E55" s="117">
        <f>SUBTOTAL(9,E49:E54)</f>
        <v>6040695</v>
      </c>
      <c r="F55" s="117">
        <f>SUBTOTAL(9,F49:F54)</f>
        <v>0</v>
      </c>
      <c r="G55" s="103">
        <f t="shared" si="0"/>
        <v>6040695</v>
      </c>
    </row>
    <row r="56" spans="1:7" ht="15" customHeight="1" x14ac:dyDescent="0.25">
      <c r="A56" s="197"/>
      <c r="B56" s="203"/>
      <c r="C56" s="200" t="s">
        <v>95</v>
      </c>
      <c r="D56" s="13" t="s">
        <v>72</v>
      </c>
      <c r="E56" s="123">
        <f>3023000</f>
        <v>3023000</v>
      </c>
      <c r="F56" s="128"/>
      <c r="G56" s="104">
        <f t="shared" si="0"/>
        <v>3023000</v>
      </c>
    </row>
    <row r="57" spans="1:7" x14ac:dyDescent="0.25">
      <c r="A57" s="197"/>
      <c r="B57" s="203"/>
      <c r="C57" s="201"/>
      <c r="D57" s="13" t="s">
        <v>76</v>
      </c>
      <c r="E57" s="123">
        <v>2713100</v>
      </c>
      <c r="F57" s="129">
        <v>-20800</v>
      </c>
      <c r="G57" s="104">
        <f t="shared" si="0"/>
        <v>2692300</v>
      </c>
    </row>
    <row r="58" spans="1:7" x14ac:dyDescent="0.25">
      <c r="A58" s="197"/>
      <c r="B58" s="203"/>
      <c r="C58" s="201"/>
      <c r="D58" s="13" t="s">
        <v>81</v>
      </c>
      <c r="E58" s="123">
        <v>1600</v>
      </c>
      <c r="F58" s="128"/>
      <c r="G58" s="104">
        <f t="shared" si="0"/>
        <v>1600</v>
      </c>
    </row>
    <row r="59" spans="1:7" x14ac:dyDescent="0.25">
      <c r="A59" s="197"/>
      <c r="B59" s="203"/>
      <c r="C59" s="201"/>
      <c r="D59" s="13" t="s">
        <v>93</v>
      </c>
      <c r="E59" s="123">
        <v>310470</v>
      </c>
      <c r="F59" s="129"/>
      <c r="G59" s="104">
        <f t="shared" si="0"/>
        <v>310470</v>
      </c>
    </row>
    <row r="60" spans="1:7" x14ac:dyDescent="0.25">
      <c r="A60" s="197"/>
      <c r="B60" s="203"/>
      <c r="C60" s="201"/>
      <c r="D60" s="13" t="s">
        <v>77</v>
      </c>
      <c r="E60" s="123">
        <v>14400</v>
      </c>
      <c r="F60" s="110"/>
      <c r="G60" s="104">
        <f t="shared" si="0"/>
        <v>14400</v>
      </c>
    </row>
    <row r="61" spans="1:7" ht="15" customHeight="1" x14ac:dyDescent="0.25">
      <c r="A61" s="197"/>
      <c r="B61" s="203"/>
      <c r="C61" s="47" t="s">
        <v>195</v>
      </c>
      <c r="D61" s="14"/>
      <c r="E61" s="117">
        <f>SUBTOTAL(9,E56:E60)</f>
        <v>6062570</v>
      </c>
      <c r="F61" s="110">
        <f>SUBTOTAL(9,F56:F60)</f>
        <v>-20800</v>
      </c>
      <c r="G61" s="103">
        <f t="shared" si="0"/>
        <v>6041770</v>
      </c>
    </row>
    <row r="62" spans="1:7" ht="24" x14ac:dyDescent="0.25">
      <c r="A62" s="197"/>
      <c r="B62" s="203"/>
      <c r="C62" s="48" t="s">
        <v>96</v>
      </c>
      <c r="D62" s="13" t="s">
        <v>72</v>
      </c>
      <c r="E62" s="123">
        <v>818500</v>
      </c>
      <c r="F62" s="129"/>
      <c r="G62" s="104">
        <f t="shared" si="0"/>
        <v>818500</v>
      </c>
    </row>
    <row r="63" spans="1:7" x14ac:dyDescent="0.25">
      <c r="A63" s="197"/>
      <c r="B63" s="203"/>
      <c r="C63" s="47" t="s">
        <v>195</v>
      </c>
      <c r="D63" s="13"/>
      <c r="E63" s="117">
        <f>SUBTOTAL(9,E62:E62)</f>
        <v>818500</v>
      </c>
      <c r="F63" s="171"/>
      <c r="G63" s="103">
        <f t="shared" si="0"/>
        <v>818500</v>
      </c>
    </row>
    <row r="64" spans="1:7" ht="15" customHeight="1" x14ac:dyDescent="0.25">
      <c r="A64" s="197"/>
      <c r="B64" s="203"/>
      <c r="C64" s="199" t="s">
        <v>97</v>
      </c>
      <c r="D64" s="13" t="s">
        <v>72</v>
      </c>
      <c r="E64" s="123">
        <v>175000</v>
      </c>
      <c r="F64" s="128"/>
      <c r="G64" s="104">
        <f t="shared" si="0"/>
        <v>175000</v>
      </c>
    </row>
    <row r="65" spans="1:7" x14ac:dyDescent="0.25">
      <c r="A65" s="197"/>
      <c r="B65" s="203"/>
      <c r="C65" s="177"/>
      <c r="D65" s="13" t="s">
        <v>87</v>
      </c>
      <c r="E65" s="123">
        <v>75000</v>
      </c>
      <c r="F65" s="128"/>
      <c r="G65" s="104">
        <f t="shared" si="0"/>
        <v>75000</v>
      </c>
    </row>
    <row r="66" spans="1:7" x14ac:dyDescent="0.25">
      <c r="A66" s="197"/>
      <c r="B66" s="203"/>
      <c r="C66" s="177"/>
      <c r="D66" s="13" t="s">
        <v>76</v>
      </c>
      <c r="E66" s="123">
        <f>98328</f>
        <v>98328</v>
      </c>
      <c r="F66" s="128"/>
      <c r="G66" s="104">
        <f t="shared" si="0"/>
        <v>98328</v>
      </c>
    </row>
    <row r="67" spans="1:7" x14ac:dyDescent="0.25">
      <c r="A67" s="197"/>
      <c r="B67" s="203"/>
      <c r="C67" s="47" t="s">
        <v>195</v>
      </c>
      <c r="D67" s="14"/>
      <c r="E67" s="117">
        <f>SUBTOTAL(9,E64:E66)</f>
        <v>348328</v>
      </c>
      <c r="F67" s="110">
        <f>SUM(F64:F66)</f>
        <v>0</v>
      </c>
      <c r="G67" s="103">
        <f t="shared" si="0"/>
        <v>348328</v>
      </c>
    </row>
    <row r="68" spans="1:7" ht="24.75" thickBot="1" x14ac:dyDescent="0.3">
      <c r="A68" s="198"/>
      <c r="B68" s="37" t="s">
        <v>73</v>
      </c>
      <c r="C68" s="38"/>
      <c r="D68" s="39"/>
      <c r="E68" s="118">
        <f>E19+E22+E28+E36+E43+E46+E48+E55+E61+E63+E67</f>
        <v>51835384</v>
      </c>
      <c r="F68" s="118">
        <f>F19+F22+F28+F36+F43+F46+F48+F55+F61+F63+F67</f>
        <v>127378</v>
      </c>
      <c r="G68" s="119">
        <f t="shared" si="0"/>
        <v>51962762</v>
      </c>
    </row>
    <row r="69" spans="1:7" ht="15.75" customHeight="1" x14ac:dyDescent="0.25">
      <c r="A69" s="180" t="s">
        <v>6</v>
      </c>
      <c r="B69" s="176" t="s">
        <v>98</v>
      </c>
      <c r="C69" s="176" t="s">
        <v>71</v>
      </c>
      <c r="D69" s="88" t="s">
        <v>72</v>
      </c>
      <c r="E69" s="107">
        <v>59035</v>
      </c>
      <c r="F69" s="130"/>
      <c r="G69" s="102">
        <f t="shared" si="0"/>
        <v>59035</v>
      </c>
    </row>
    <row r="70" spans="1:7" x14ac:dyDescent="0.25">
      <c r="A70" s="181"/>
      <c r="B70" s="178"/>
      <c r="C70" s="178"/>
      <c r="D70" s="85" t="s">
        <v>76</v>
      </c>
      <c r="E70" s="18">
        <v>730600</v>
      </c>
      <c r="F70" s="131"/>
      <c r="G70" s="104">
        <f t="shared" si="0"/>
        <v>730600</v>
      </c>
    </row>
    <row r="71" spans="1:7" ht="24.75" thickBot="1" x14ac:dyDescent="0.3">
      <c r="A71" s="182"/>
      <c r="B71" s="37" t="s">
        <v>73</v>
      </c>
      <c r="C71" s="38"/>
      <c r="D71" s="39"/>
      <c r="E71" s="108">
        <f>SUBTOTAL(9,E69:E70)</f>
        <v>789635</v>
      </c>
      <c r="F71" s="126"/>
      <c r="G71" s="119">
        <f t="shared" si="0"/>
        <v>789635</v>
      </c>
    </row>
    <row r="72" spans="1:7" ht="36" x14ac:dyDescent="0.25">
      <c r="A72" s="181" t="s">
        <v>16</v>
      </c>
      <c r="B72" s="84" t="s">
        <v>99</v>
      </c>
      <c r="C72" s="101" t="s">
        <v>78</v>
      </c>
      <c r="D72" s="87" t="s">
        <v>72</v>
      </c>
      <c r="E72" s="111">
        <v>304903</v>
      </c>
      <c r="F72" s="132"/>
      <c r="G72" s="102">
        <f t="shared" si="0"/>
        <v>304903</v>
      </c>
    </row>
    <row r="73" spans="1:7" ht="24.75" thickBot="1" x14ac:dyDescent="0.3">
      <c r="A73" s="182"/>
      <c r="B73" s="37" t="s">
        <v>73</v>
      </c>
      <c r="C73" s="38"/>
      <c r="D73" s="39"/>
      <c r="E73" s="108">
        <f>SUBTOTAL(9,E72:E72)</f>
        <v>304903</v>
      </c>
      <c r="F73" s="126"/>
      <c r="G73" s="119">
        <f t="shared" si="0"/>
        <v>304903</v>
      </c>
    </row>
    <row r="74" spans="1:7" ht="36" x14ac:dyDescent="0.25">
      <c r="A74" s="180" t="s">
        <v>24</v>
      </c>
      <c r="B74" s="10" t="s">
        <v>100</v>
      </c>
      <c r="C74" s="12" t="s">
        <v>78</v>
      </c>
      <c r="D74" s="11" t="s">
        <v>72</v>
      </c>
      <c r="E74" s="107">
        <v>166129</v>
      </c>
      <c r="F74" s="132"/>
      <c r="G74" s="121">
        <f t="shared" si="0"/>
        <v>166129</v>
      </c>
    </row>
    <row r="75" spans="1:7" ht="24.75" thickBot="1" x14ac:dyDescent="0.3">
      <c r="A75" s="182"/>
      <c r="B75" s="37" t="s">
        <v>73</v>
      </c>
      <c r="C75" s="38"/>
      <c r="D75" s="39"/>
      <c r="E75" s="108">
        <f>SUBTOTAL(9,E74:E74)</f>
        <v>166129</v>
      </c>
      <c r="F75" s="126"/>
      <c r="G75" s="119">
        <f t="shared" si="0"/>
        <v>166129</v>
      </c>
    </row>
    <row r="76" spans="1:7" ht="36" x14ac:dyDescent="0.25">
      <c r="A76" s="180" t="s">
        <v>26</v>
      </c>
      <c r="B76" s="10" t="s">
        <v>101</v>
      </c>
      <c r="C76" s="12" t="s">
        <v>78</v>
      </c>
      <c r="D76" s="11" t="s">
        <v>72</v>
      </c>
      <c r="E76" s="107">
        <v>182389</v>
      </c>
      <c r="F76" s="132"/>
      <c r="G76" s="121">
        <f t="shared" si="0"/>
        <v>182389</v>
      </c>
    </row>
    <row r="77" spans="1:7" ht="24.75" thickBot="1" x14ac:dyDescent="0.3">
      <c r="A77" s="182"/>
      <c r="B77" s="37" t="s">
        <v>73</v>
      </c>
      <c r="C77" s="38"/>
      <c r="D77" s="39"/>
      <c r="E77" s="108">
        <f>SUBTOTAL(9,E76:E76)</f>
        <v>182389</v>
      </c>
      <c r="F77" s="126"/>
      <c r="G77" s="119">
        <f t="shared" si="0"/>
        <v>182389</v>
      </c>
    </row>
    <row r="78" spans="1:7" ht="48" x14ac:dyDescent="0.25">
      <c r="A78" s="180" t="s">
        <v>30</v>
      </c>
      <c r="B78" s="12" t="s">
        <v>102</v>
      </c>
      <c r="C78" s="12" t="s">
        <v>78</v>
      </c>
      <c r="D78" s="11" t="s">
        <v>72</v>
      </c>
      <c r="E78" s="122">
        <v>1694444</v>
      </c>
      <c r="F78" s="135"/>
      <c r="G78" s="121">
        <f t="shared" si="0"/>
        <v>1694444</v>
      </c>
    </row>
    <row r="79" spans="1:7" ht="24.75" thickBot="1" x14ac:dyDescent="0.3">
      <c r="A79" s="182"/>
      <c r="B79" s="37" t="s">
        <v>73</v>
      </c>
      <c r="C79" s="38"/>
      <c r="D79" s="39"/>
      <c r="E79" s="169">
        <v>1694444</v>
      </c>
      <c r="F79" s="108">
        <f>SUBTOTAL(9,F78:F78)</f>
        <v>0</v>
      </c>
      <c r="G79" s="119">
        <f t="shared" ref="G79:G146" si="2">E79+F79</f>
        <v>1694444</v>
      </c>
    </row>
    <row r="80" spans="1:7" ht="36" x14ac:dyDescent="0.25">
      <c r="A80" s="180" t="s">
        <v>38</v>
      </c>
      <c r="B80" s="10" t="s">
        <v>103</v>
      </c>
      <c r="C80" s="12" t="s">
        <v>78</v>
      </c>
      <c r="D80" s="11" t="s">
        <v>72</v>
      </c>
      <c r="E80" s="107">
        <v>206176</v>
      </c>
      <c r="F80" s="132"/>
      <c r="G80" s="121">
        <f t="shared" si="2"/>
        <v>206176</v>
      </c>
    </row>
    <row r="81" spans="1:7" ht="24.75" thickBot="1" x14ac:dyDescent="0.3">
      <c r="A81" s="182"/>
      <c r="B81" s="37" t="s">
        <v>73</v>
      </c>
      <c r="C81" s="38"/>
      <c r="D81" s="39"/>
      <c r="E81" s="108">
        <f>SUBTOTAL(9,E80:E80)</f>
        <v>206176</v>
      </c>
      <c r="F81" s="126"/>
      <c r="G81" s="119">
        <f t="shared" si="2"/>
        <v>206176</v>
      </c>
    </row>
    <row r="82" spans="1:7" ht="19.5" customHeight="1" x14ac:dyDescent="0.25">
      <c r="A82" s="180" t="s">
        <v>43</v>
      </c>
      <c r="B82" s="10" t="s">
        <v>104</v>
      </c>
      <c r="C82" s="12" t="s">
        <v>78</v>
      </c>
      <c r="D82" s="11" t="s">
        <v>72</v>
      </c>
      <c r="E82" s="107">
        <v>142332</v>
      </c>
      <c r="F82" s="132"/>
      <c r="G82" s="121">
        <f t="shared" si="2"/>
        <v>142332</v>
      </c>
    </row>
    <row r="83" spans="1:7" ht="24.75" thickBot="1" x14ac:dyDescent="0.3">
      <c r="A83" s="182"/>
      <c r="B83" s="37" t="s">
        <v>73</v>
      </c>
      <c r="C83" s="38"/>
      <c r="D83" s="39"/>
      <c r="E83" s="108">
        <f>SUBTOTAL(9,E82:E82)</f>
        <v>142332</v>
      </c>
      <c r="F83" s="126"/>
      <c r="G83" s="119">
        <f t="shared" si="2"/>
        <v>142332</v>
      </c>
    </row>
    <row r="84" spans="1:7" ht="36" x14ac:dyDescent="0.25">
      <c r="A84" s="180" t="s">
        <v>45</v>
      </c>
      <c r="B84" s="10" t="s">
        <v>105</v>
      </c>
      <c r="C84" s="12" t="s">
        <v>78</v>
      </c>
      <c r="D84" s="11" t="s">
        <v>72</v>
      </c>
      <c r="E84" s="107">
        <v>283625</v>
      </c>
      <c r="F84" s="132"/>
      <c r="G84" s="121">
        <f t="shared" si="2"/>
        <v>283625</v>
      </c>
    </row>
    <row r="85" spans="1:7" ht="21" customHeight="1" thickBot="1" x14ac:dyDescent="0.3">
      <c r="A85" s="182"/>
      <c r="B85" s="37" t="s">
        <v>73</v>
      </c>
      <c r="C85" s="38"/>
      <c r="D85" s="39"/>
      <c r="E85" s="108">
        <f>SUBTOTAL(9,E84:E84)</f>
        <v>283625</v>
      </c>
      <c r="F85" s="126"/>
      <c r="G85" s="119">
        <f t="shared" si="2"/>
        <v>283625</v>
      </c>
    </row>
    <row r="86" spans="1:7" ht="36" x14ac:dyDescent="0.25">
      <c r="A86" s="180" t="s">
        <v>49</v>
      </c>
      <c r="B86" s="10" t="s">
        <v>106</v>
      </c>
      <c r="C86" s="12" t="s">
        <v>78</v>
      </c>
      <c r="D86" s="11" t="s">
        <v>72</v>
      </c>
      <c r="E86" s="107">
        <v>148626</v>
      </c>
      <c r="F86" s="132"/>
      <c r="G86" s="121">
        <f t="shared" si="2"/>
        <v>148626</v>
      </c>
    </row>
    <row r="87" spans="1:7" ht="24.75" thickBot="1" x14ac:dyDescent="0.3">
      <c r="A87" s="182"/>
      <c r="B87" s="37" t="s">
        <v>73</v>
      </c>
      <c r="C87" s="38"/>
      <c r="D87" s="39"/>
      <c r="E87" s="108">
        <f>SUBTOTAL(9,E86:E86)</f>
        <v>148626</v>
      </c>
      <c r="F87" s="126"/>
      <c r="G87" s="119">
        <f t="shared" si="2"/>
        <v>148626</v>
      </c>
    </row>
    <row r="88" spans="1:7" ht="21" customHeight="1" x14ac:dyDescent="0.25">
      <c r="A88" s="180" t="s">
        <v>50</v>
      </c>
      <c r="B88" s="10" t="s">
        <v>107</v>
      </c>
      <c r="C88" s="12" t="s">
        <v>78</v>
      </c>
      <c r="D88" s="11" t="s">
        <v>72</v>
      </c>
      <c r="E88" s="107">
        <v>212533</v>
      </c>
      <c r="F88" s="132"/>
      <c r="G88" s="121">
        <f t="shared" si="2"/>
        <v>212533</v>
      </c>
    </row>
    <row r="89" spans="1:7" ht="24.75" thickBot="1" x14ac:dyDescent="0.3">
      <c r="A89" s="182"/>
      <c r="B89" s="37" t="s">
        <v>73</v>
      </c>
      <c r="C89" s="38"/>
      <c r="D89" s="39"/>
      <c r="E89" s="108">
        <f>SUBTOTAL(9,E88:E88)</f>
        <v>212533</v>
      </c>
      <c r="F89" s="126"/>
      <c r="G89" s="119">
        <f t="shared" si="2"/>
        <v>212533</v>
      </c>
    </row>
    <row r="90" spans="1:7" ht="15.75" customHeight="1" x14ac:dyDescent="0.25">
      <c r="A90" s="180" t="s">
        <v>52</v>
      </c>
      <c r="B90" s="176" t="s">
        <v>108</v>
      </c>
      <c r="C90" s="176" t="s">
        <v>89</v>
      </c>
      <c r="D90" s="11" t="s">
        <v>72</v>
      </c>
      <c r="E90" s="122">
        <v>29411</v>
      </c>
      <c r="F90" s="141"/>
      <c r="G90" s="121">
        <f t="shared" si="2"/>
        <v>29411</v>
      </c>
    </row>
    <row r="91" spans="1:7" ht="15" customHeight="1" x14ac:dyDescent="0.25">
      <c r="A91" s="181"/>
      <c r="B91" s="177"/>
      <c r="C91" s="177"/>
      <c r="D91" s="13" t="s">
        <v>76</v>
      </c>
      <c r="E91" s="123">
        <v>489770</v>
      </c>
      <c r="F91" s="128"/>
      <c r="G91" s="104">
        <f t="shared" si="2"/>
        <v>489770</v>
      </c>
    </row>
    <row r="92" spans="1:7" ht="15" customHeight="1" x14ac:dyDescent="0.25">
      <c r="A92" s="181"/>
      <c r="B92" s="178"/>
      <c r="C92" s="178"/>
      <c r="D92" s="13" t="s">
        <v>93</v>
      </c>
      <c r="E92" s="149"/>
      <c r="F92" s="173">
        <v>38306</v>
      </c>
      <c r="G92" s="104">
        <f t="shared" si="2"/>
        <v>38306</v>
      </c>
    </row>
    <row r="93" spans="1:7" ht="24.75" thickBot="1" x14ac:dyDescent="0.3">
      <c r="A93" s="182"/>
      <c r="B93" s="37" t="s">
        <v>73</v>
      </c>
      <c r="C93" s="38"/>
      <c r="D93" s="39"/>
      <c r="E93" s="118">
        <f>SUBTOTAL(9,E90:E92)</f>
        <v>519181</v>
      </c>
      <c r="F93" s="108">
        <f>SUBTOTAL(9,F90:F92)</f>
        <v>38306</v>
      </c>
      <c r="G93" s="119">
        <f t="shared" si="2"/>
        <v>557487</v>
      </c>
    </row>
    <row r="94" spans="1:7" ht="15" customHeight="1" x14ac:dyDescent="0.25">
      <c r="A94" s="180" t="s">
        <v>54</v>
      </c>
      <c r="B94" s="176" t="s">
        <v>109</v>
      </c>
      <c r="C94" s="176" t="s">
        <v>90</v>
      </c>
      <c r="D94" s="11" t="s">
        <v>72</v>
      </c>
      <c r="E94" s="122">
        <v>1693456</v>
      </c>
      <c r="F94" s="141"/>
      <c r="G94" s="121">
        <f t="shared" si="2"/>
        <v>1693456</v>
      </c>
    </row>
    <row r="95" spans="1:7" ht="19.5" customHeight="1" x14ac:dyDescent="0.25">
      <c r="A95" s="181"/>
      <c r="B95" s="177"/>
      <c r="C95" s="177"/>
      <c r="D95" s="14" t="s">
        <v>75</v>
      </c>
      <c r="E95" s="142">
        <v>112200</v>
      </c>
      <c r="F95" s="128"/>
      <c r="G95" s="104">
        <f t="shared" si="2"/>
        <v>112200</v>
      </c>
    </row>
    <row r="96" spans="1:7" ht="19.5" customHeight="1" x14ac:dyDescent="0.25">
      <c r="A96" s="181"/>
      <c r="B96" s="178"/>
      <c r="C96" s="178"/>
      <c r="D96" s="13" t="s">
        <v>93</v>
      </c>
      <c r="E96" s="13"/>
      <c r="F96" s="173">
        <v>10000</v>
      </c>
      <c r="G96" s="104">
        <f t="shared" si="2"/>
        <v>10000</v>
      </c>
    </row>
    <row r="97" spans="1:7" ht="24.75" customHeight="1" thickBot="1" x14ac:dyDescent="0.3">
      <c r="A97" s="182"/>
      <c r="B97" s="37" t="s">
        <v>73</v>
      </c>
      <c r="C97" s="38"/>
      <c r="D97" s="39"/>
      <c r="E97" s="118">
        <f>SUBTOTAL(9,E94:E96)</f>
        <v>1805656</v>
      </c>
      <c r="F97" s="118">
        <f>SUBTOTAL(9,F94:F96)</f>
        <v>10000</v>
      </c>
      <c r="G97" s="119">
        <f t="shared" si="2"/>
        <v>1815656</v>
      </c>
    </row>
    <row r="98" spans="1:7" ht="15" customHeight="1" x14ac:dyDescent="0.25">
      <c r="A98" s="180" t="s">
        <v>56</v>
      </c>
      <c r="B98" s="176" t="s">
        <v>110</v>
      </c>
      <c r="C98" s="176" t="s">
        <v>90</v>
      </c>
      <c r="D98" s="11" t="s">
        <v>72</v>
      </c>
      <c r="E98" s="107">
        <v>396287</v>
      </c>
      <c r="F98" s="132"/>
      <c r="G98" s="121">
        <f t="shared" si="2"/>
        <v>396287</v>
      </c>
    </row>
    <row r="99" spans="1:7" x14ac:dyDescent="0.25">
      <c r="A99" s="181"/>
      <c r="B99" s="178"/>
      <c r="C99" s="178"/>
      <c r="D99" s="14" t="s">
        <v>75</v>
      </c>
      <c r="E99" s="112">
        <v>20900</v>
      </c>
      <c r="F99" s="131"/>
      <c r="G99" s="104">
        <f t="shared" si="2"/>
        <v>20900</v>
      </c>
    </row>
    <row r="100" spans="1:7" ht="21.75" customHeight="1" thickBot="1" x14ac:dyDescent="0.3">
      <c r="A100" s="182"/>
      <c r="B100" s="37" t="s">
        <v>73</v>
      </c>
      <c r="C100" s="38"/>
      <c r="D100" s="39"/>
      <c r="E100" s="108">
        <f>SUBTOTAL(9,E98:E99)</f>
        <v>417187</v>
      </c>
      <c r="F100" s="126"/>
      <c r="G100" s="119">
        <f t="shared" si="2"/>
        <v>417187</v>
      </c>
    </row>
    <row r="101" spans="1:7" ht="30" customHeight="1" x14ac:dyDescent="0.25">
      <c r="A101" s="180" t="s">
        <v>58</v>
      </c>
      <c r="B101" s="176" t="s">
        <v>111</v>
      </c>
      <c r="C101" s="176" t="s">
        <v>90</v>
      </c>
      <c r="D101" s="11" t="s">
        <v>72</v>
      </c>
      <c r="E101" s="122">
        <v>1475527</v>
      </c>
      <c r="F101" s="141"/>
      <c r="G101" s="121">
        <f t="shared" si="2"/>
        <v>1475527</v>
      </c>
    </row>
    <row r="102" spans="1:7" x14ac:dyDescent="0.25">
      <c r="A102" s="181"/>
      <c r="B102" s="177"/>
      <c r="C102" s="177"/>
      <c r="D102" s="14" t="s">
        <v>75</v>
      </c>
      <c r="E102" s="142">
        <f>19000</f>
        <v>19000</v>
      </c>
      <c r="F102" s="128"/>
      <c r="G102" s="104">
        <f t="shared" si="2"/>
        <v>19000</v>
      </c>
    </row>
    <row r="103" spans="1:7" ht="15" customHeight="1" x14ac:dyDescent="0.25">
      <c r="A103" s="181"/>
      <c r="B103" s="178"/>
      <c r="C103" s="178"/>
      <c r="D103" s="13" t="s">
        <v>93</v>
      </c>
      <c r="E103" s="123">
        <v>45700</v>
      </c>
      <c r="F103" s="129">
        <v>12000</v>
      </c>
      <c r="G103" s="104">
        <f t="shared" si="2"/>
        <v>57700</v>
      </c>
    </row>
    <row r="104" spans="1:7" ht="24.75" thickBot="1" x14ac:dyDescent="0.3">
      <c r="A104" s="182"/>
      <c r="B104" s="37" t="s">
        <v>73</v>
      </c>
      <c r="C104" s="38"/>
      <c r="D104" s="39"/>
      <c r="E104" s="118">
        <f>SUBTOTAL(9,E101:E103)</f>
        <v>1540227</v>
      </c>
      <c r="F104" s="108">
        <f>SUBTOTAL(9,F101:F103)</f>
        <v>12000</v>
      </c>
      <c r="G104" s="119">
        <f t="shared" si="2"/>
        <v>1552227</v>
      </c>
    </row>
    <row r="105" spans="1:7" ht="15" customHeight="1" x14ac:dyDescent="0.25">
      <c r="A105" s="180" t="s">
        <v>60</v>
      </c>
      <c r="B105" s="176" t="s">
        <v>112</v>
      </c>
      <c r="C105" s="176" t="s">
        <v>90</v>
      </c>
      <c r="D105" s="11" t="s">
        <v>72</v>
      </c>
      <c r="E105" s="122">
        <v>1196222</v>
      </c>
      <c r="F105" s="141"/>
      <c r="G105" s="121">
        <f t="shared" si="2"/>
        <v>1196222</v>
      </c>
    </row>
    <row r="106" spans="1:7" x14ac:dyDescent="0.25">
      <c r="A106" s="181"/>
      <c r="B106" s="177"/>
      <c r="C106" s="177"/>
      <c r="D106" s="13" t="s">
        <v>75</v>
      </c>
      <c r="E106" s="123">
        <v>515300</v>
      </c>
      <c r="F106" s="129"/>
      <c r="G106" s="104">
        <f t="shared" si="2"/>
        <v>515300</v>
      </c>
    </row>
    <row r="107" spans="1:7" x14ac:dyDescent="0.25">
      <c r="A107" s="181"/>
      <c r="B107" s="177"/>
      <c r="C107" s="177"/>
      <c r="D107" s="13" t="s">
        <v>93</v>
      </c>
      <c r="E107" s="149"/>
      <c r="F107" s="173">
        <v>8000</v>
      </c>
      <c r="G107" s="104">
        <f t="shared" si="2"/>
        <v>8000</v>
      </c>
    </row>
    <row r="108" spans="1:7" x14ac:dyDescent="0.25">
      <c r="A108" s="181"/>
      <c r="B108" s="178"/>
      <c r="C108" s="178"/>
      <c r="D108" s="172" t="s">
        <v>77</v>
      </c>
      <c r="E108" s="149"/>
      <c r="F108" s="173">
        <v>7090</v>
      </c>
      <c r="G108" s="104">
        <f t="shared" si="2"/>
        <v>7090</v>
      </c>
    </row>
    <row r="109" spans="1:7" ht="24.75" thickBot="1" x14ac:dyDescent="0.3">
      <c r="A109" s="182"/>
      <c r="B109" s="37" t="s">
        <v>73</v>
      </c>
      <c r="C109" s="38"/>
      <c r="D109" s="39"/>
      <c r="E109" s="118">
        <f>SUBTOTAL(9,E105:E108)</f>
        <v>1711522</v>
      </c>
      <c r="F109" s="118">
        <f>SUBTOTAL(9,F105:F108)</f>
        <v>15090</v>
      </c>
      <c r="G109" s="119">
        <f t="shared" si="2"/>
        <v>1726612</v>
      </c>
    </row>
    <row r="110" spans="1:7" ht="15.75" customHeight="1" x14ac:dyDescent="0.25">
      <c r="A110" s="180" t="s">
        <v>61</v>
      </c>
      <c r="B110" s="176" t="s">
        <v>113</v>
      </c>
      <c r="C110" s="176" t="s">
        <v>91</v>
      </c>
      <c r="D110" s="11" t="s">
        <v>72</v>
      </c>
      <c r="E110" s="107">
        <f>501310</f>
        <v>501310</v>
      </c>
      <c r="F110" s="134"/>
      <c r="G110" s="121">
        <f t="shared" si="2"/>
        <v>501310</v>
      </c>
    </row>
    <row r="111" spans="1:7" ht="15" customHeight="1" x14ac:dyDescent="0.25">
      <c r="A111" s="181"/>
      <c r="B111" s="177"/>
      <c r="C111" s="177"/>
      <c r="D111" s="14" t="s">
        <v>75</v>
      </c>
      <c r="E111" s="112">
        <f>14000</f>
        <v>14000</v>
      </c>
      <c r="F111" s="131"/>
      <c r="G111" s="104">
        <f t="shared" si="2"/>
        <v>14000</v>
      </c>
    </row>
    <row r="112" spans="1:7" x14ac:dyDescent="0.25">
      <c r="A112" s="181"/>
      <c r="B112" s="177"/>
      <c r="C112" s="177"/>
      <c r="D112" s="13" t="s">
        <v>92</v>
      </c>
      <c r="E112" s="109">
        <v>2096782</v>
      </c>
      <c r="F112" s="131"/>
      <c r="G112" s="104">
        <f t="shared" si="2"/>
        <v>2096782</v>
      </c>
    </row>
    <row r="113" spans="1:7" ht="24.75" thickBot="1" x14ac:dyDescent="0.3">
      <c r="A113" s="182"/>
      <c r="B113" s="37" t="s">
        <v>73</v>
      </c>
      <c r="C113" s="38"/>
      <c r="D113" s="39"/>
      <c r="E113" s="108">
        <f>SUBTOTAL(9,E110:E112)</f>
        <v>2612092</v>
      </c>
      <c r="F113" s="126"/>
      <c r="G113" s="119">
        <f t="shared" si="2"/>
        <v>2612092</v>
      </c>
    </row>
    <row r="114" spans="1:7" ht="15.75" customHeight="1" x14ac:dyDescent="0.25">
      <c r="A114" s="180" t="s">
        <v>62</v>
      </c>
      <c r="B114" s="176" t="s">
        <v>114</v>
      </c>
      <c r="C114" s="176" t="s">
        <v>91</v>
      </c>
      <c r="D114" s="11" t="s">
        <v>72</v>
      </c>
      <c r="E114" s="107">
        <f>598563</f>
        <v>598563</v>
      </c>
      <c r="F114" s="132"/>
      <c r="G114" s="121">
        <f t="shared" si="2"/>
        <v>598563</v>
      </c>
    </row>
    <row r="115" spans="1:7" ht="15" customHeight="1" x14ac:dyDescent="0.25">
      <c r="A115" s="181"/>
      <c r="B115" s="177"/>
      <c r="C115" s="177"/>
      <c r="D115" s="14" t="s">
        <v>75</v>
      </c>
      <c r="E115" s="112">
        <v>8300</v>
      </c>
      <c r="F115" s="131"/>
      <c r="G115" s="104">
        <f t="shared" si="2"/>
        <v>8300</v>
      </c>
    </row>
    <row r="116" spans="1:7" x14ac:dyDescent="0.25">
      <c r="A116" s="181"/>
      <c r="B116" s="177"/>
      <c r="C116" s="177"/>
      <c r="D116" s="13" t="s">
        <v>92</v>
      </c>
      <c r="E116" s="109">
        <v>3225676</v>
      </c>
      <c r="F116" s="131"/>
      <c r="G116" s="104">
        <f t="shared" si="2"/>
        <v>3225676</v>
      </c>
    </row>
    <row r="117" spans="1:7" ht="24.75" thickBot="1" x14ac:dyDescent="0.3">
      <c r="A117" s="182"/>
      <c r="B117" s="37" t="s">
        <v>73</v>
      </c>
      <c r="C117" s="38"/>
      <c r="D117" s="39"/>
      <c r="E117" s="108">
        <f>SUBTOTAL(9,E114:E116)</f>
        <v>3832539</v>
      </c>
      <c r="F117" s="126"/>
      <c r="G117" s="119">
        <f t="shared" si="2"/>
        <v>3832539</v>
      </c>
    </row>
    <row r="118" spans="1:7" ht="15" customHeight="1" x14ac:dyDescent="0.25">
      <c r="A118" s="180" t="s">
        <v>64</v>
      </c>
      <c r="B118" s="176" t="s">
        <v>115</v>
      </c>
      <c r="C118" s="176" t="s">
        <v>91</v>
      </c>
      <c r="D118" s="11" t="s">
        <v>72</v>
      </c>
      <c r="E118" s="107">
        <v>808210</v>
      </c>
      <c r="F118" s="135"/>
      <c r="G118" s="121">
        <f t="shared" si="2"/>
        <v>808210</v>
      </c>
    </row>
    <row r="119" spans="1:7" x14ac:dyDescent="0.25">
      <c r="A119" s="181"/>
      <c r="B119" s="177"/>
      <c r="C119" s="177"/>
      <c r="D119" s="14" t="s">
        <v>75</v>
      </c>
      <c r="E119" s="112">
        <v>89700</v>
      </c>
      <c r="F119" s="133"/>
      <c r="G119" s="104">
        <f t="shared" si="2"/>
        <v>89700</v>
      </c>
    </row>
    <row r="120" spans="1:7" x14ac:dyDescent="0.25">
      <c r="A120" s="181"/>
      <c r="B120" s="177"/>
      <c r="C120" s="177"/>
      <c r="D120" s="13" t="s">
        <v>92</v>
      </c>
      <c r="E120" s="109">
        <v>1895977</v>
      </c>
      <c r="F120" s="136"/>
      <c r="G120" s="104">
        <f t="shared" si="2"/>
        <v>1895977</v>
      </c>
    </row>
    <row r="121" spans="1:7" ht="15" customHeight="1" x14ac:dyDescent="0.25">
      <c r="A121" s="181"/>
      <c r="B121" s="178"/>
      <c r="C121" s="178"/>
      <c r="D121" s="15" t="s">
        <v>93</v>
      </c>
      <c r="E121" s="113">
        <v>17993</v>
      </c>
      <c r="F121" s="131"/>
      <c r="G121" s="104">
        <f t="shared" si="2"/>
        <v>17993</v>
      </c>
    </row>
    <row r="122" spans="1:7" ht="24.75" thickBot="1" x14ac:dyDescent="0.3">
      <c r="A122" s="182"/>
      <c r="B122" s="37" t="s">
        <v>73</v>
      </c>
      <c r="C122" s="38"/>
      <c r="D122" s="39"/>
      <c r="E122" s="108">
        <f>SUBTOTAL(9,E118:E121)</f>
        <v>2811880</v>
      </c>
      <c r="F122" s="126"/>
      <c r="G122" s="119">
        <f t="shared" si="2"/>
        <v>2811880</v>
      </c>
    </row>
    <row r="123" spans="1:7" ht="15" customHeight="1" x14ac:dyDescent="0.25">
      <c r="A123" s="180" t="s">
        <v>66</v>
      </c>
      <c r="B123" s="176" t="s">
        <v>117</v>
      </c>
      <c r="C123" s="176" t="s">
        <v>91</v>
      </c>
      <c r="D123" s="11" t="s">
        <v>72</v>
      </c>
      <c r="E123" s="107">
        <v>825741</v>
      </c>
      <c r="F123" s="132"/>
      <c r="G123" s="121">
        <f t="shared" si="2"/>
        <v>825741</v>
      </c>
    </row>
    <row r="124" spans="1:7" x14ac:dyDescent="0.25">
      <c r="A124" s="181"/>
      <c r="B124" s="177"/>
      <c r="C124" s="177"/>
      <c r="D124" s="14" t="s">
        <v>75</v>
      </c>
      <c r="E124" s="112">
        <v>56400</v>
      </c>
      <c r="F124" s="131"/>
      <c r="G124" s="104">
        <f t="shared" si="2"/>
        <v>56400</v>
      </c>
    </row>
    <row r="125" spans="1:7" x14ac:dyDescent="0.25">
      <c r="A125" s="181"/>
      <c r="B125" s="177"/>
      <c r="C125" s="177"/>
      <c r="D125" s="13" t="s">
        <v>92</v>
      </c>
      <c r="E125" s="109">
        <f>1917295</f>
        <v>1917295</v>
      </c>
      <c r="F125" s="131"/>
      <c r="G125" s="104">
        <f t="shared" si="2"/>
        <v>1917295</v>
      </c>
    </row>
    <row r="126" spans="1:7" ht="15" customHeight="1" x14ac:dyDescent="0.25">
      <c r="A126" s="181"/>
      <c r="B126" s="178"/>
      <c r="C126" s="178"/>
      <c r="D126" s="15" t="s">
        <v>93</v>
      </c>
      <c r="E126" s="113">
        <v>17993</v>
      </c>
      <c r="F126" s="131"/>
      <c r="G126" s="104">
        <f t="shared" si="2"/>
        <v>17993</v>
      </c>
    </row>
    <row r="127" spans="1:7" ht="24.75" thickBot="1" x14ac:dyDescent="0.3">
      <c r="A127" s="182"/>
      <c r="B127" s="37" t="s">
        <v>73</v>
      </c>
      <c r="C127" s="38"/>
      <c r="D127" s="39"/>
      <c r="E127" s="108">
        <f>SUBTOTAL(9,E123:E126)</f>
        <v>2817429</v>
      </c>
      <c r="F127" s="126"/>
      <c r="G127" s="119">
        <f t="shared" si="2"/>
        <v>2817429</v>
      </c>
    </row>
    <row r="128" spans="1:7" ht="15" customHeight="1" x14ac:dyDescent="0.25">
      <c r="A128" s="180" t="s">
        <v>116</v>
      </c>
      <c r="B128" s="176" t="s">
        <v>119</v>
      </c>
      <c r="C128" s="176" t="s">
        <v>91</v>
      </c>
      <c r="D128" s="11" t="s">
        <v>72</v>
      </c>
      <c r="E128" s="122">
        <v>941603</v>
      </c>
      <c r="F128" s="148"/>
      <c r="G128" s="121">
        <f t="shared" si="2"/>
        <v>941603</v>
      </c>
    </row>
    <row r="129" spans="1:7" x14ac:dyDescent="0.25">
      <c r="A129" s="181"/>
      <c r="B129" s="177"/>
      <c r="C129" s="177"/>
      <c r="D129" s="14" t="s">
        <v>75</v>
      </c>
      <c r="E129" s="142">
        <v>141200</v>
      </c>
      <c r="F129" s="128"/>
      <c r="G129" s="104">
        <f t="shared" si="2"/>
        <v>141200</v>
      </c>
    </row>
    <row r="130" spans="1:7" x14ac:dyDescent="0.25">
      <c r="A130" s="181"/>
      <c r="B130" s="177"/>
      <c r="C130" s="177"/>
      <c r="D130" s="13" t="s">
        <v>92</v>
      </c>
      <c r="E130" s="123">
        <v>2059636</v>
      </c>
      <c r="F130" s="128"/>
      <c r="G130" s="104">
        <f t="shared" si="2"/>
        <v>2059636</v>
      </c>
    </row>
    <row r="131" spans="1:7" ht="15" customHeight="1" x14ac:dyDescent="0.25">
      <c r="A131" s="181"/>
      <c r="B131" s="178"/>
      <c r="C131" s="178"/>
      <c r="D131" s="15" t="s">
        <v>93</v>
      </c>
      <c r="E131" s="149">
        <v>10702</v>
      </c>
      <c r="F131" s="128"/>
      <c r="G131" s="104">
        <f t="shared" si="2"/>
        <v>10702</v>
      </c>
    </row>
    <row r="132" spans="1:7" ht="24.75" thickBot="1" x14ac:dyDescent="0.3">
      <c r="A132" s="182"/>
      <c r="B132" s="37" t="s">
        <v>73</v>
      </c>
      <c r="C132" s="38"/>
      <c r="D132" s="39"/>
      <c r="E132" s="118">
        <f>SUBTOTAL(9,E128:E131)</f>
        <v>3153141</v>
      </c>
      <c r="F132" s="108">
        <f>SUBTOTAL(9,F128:F131)</f>
        <v>0</v>
      </c>
      <c r="G132" s="119">
        <f t="shared" si="2"/>
        <v>3153141</v>
      </c>
    </row>
    <row r="133" spans="1:7" ht="15" customHeight="1" x14ac:dyDescent="0.25">
      <c r="A133" s="180" t="s">
        <v>118</v>
      </c>
      <c r="B133" s="176" t="s">
        <v>121</v>
      </c>
      <c r="C133" s="176" t="s">
        <v>91</v>
      </c>
      <c r="D133" s="11" t="s">
        <v>72</v>
      </c>
      <c r="E133" s="107">
        <v>546502</v>
      </c>
      <c r="F133" s="132"/>
      <c r="G133" s="121">
        <f t="shared" si="2"/>
        <v>546502</v>
      </c>
    </row>
    <row r="134" spans="1:7" x14ac:dyDescent="0.25">
      <c r="A134" s="181"/>
      <c r="B134" s="177"/>
      <c r="C134" s="177"/>
      <c r="D134" s="13" t="s">
        <v>75</v>
      </c>
      <c r="E134" s="109">
        <v>31100</v>
      </c>
      <c r="F134" s="131"/>
      <c r="G134" s="104">
        <f t="shared" si="2"/>
        <v>31100</v>
      </c>
    </row>
    <row r="135" spans="1:7" x14ac:dyDescent="0.25">
      <c r="A135" s="181"/>
      <c r="B135" s="177"/>
      <c r="C135" s="177"/>
      <c r="D135" s="14" t="s">
        <v>92</v>
      </c>
      <c r="E135" s="112">
        <v>1353297</v>
      </c>
      <c r="F135" s="131"/>
      <c r="G135" s="104">
        <f t="shared" si="2"/>
        <v>1353297</v>
      </c>
    </row>
    <row r="136" spans="1:7" ht="15" customHeight="1" x14ac:dyDescent="0.25">
      <c r="A136" s="181"/>
      <c r="B136" s="178"/>
      <c r="C136" s="178"/>
      <c r="D136" s="16" t="s">
        <v>93</v>
      </c>
      <c r="E136" s="114">
        <v>5645</v>
      </c>
      <c r="F136" s="131"/>
      <c r="G136" s="104">
        <f t="shared" si="2"/>
        <v>5645</v>
      </c>
    </row>
    <row r="137" spans="1:7" ht="24.75" thickBot="1" x14ac:dyDescent="0.3">
      <c r="A137" s="182"/>
      <c r="B137" s="37" t="s">
        <v>73</v>
      </c>
      <c r="C137" s="38"/>
      <c r="D137" s="39"/>
      <c r="E137" s="108">
        <f>SUBTOTAL(9,E133:E136)</f>
        <v>1936544</v>
      </c>
      <c r="F137" s="126"/>
      <c r="G137" s="119">
        <f t="shared" si="2"/>
        <v>1936544</v>
      </c>
    </row>
    <row r="138" spans="1:7" ht="15" customHeight="1" x14ac:dyDescent="0.25">
      <c r="A138" s="180" t="s">
        <v>120</v>
      </c>
      <c r="B138" s="176" t="s">
        <v>123</v>
      </c>
      <c r="C138" s="176" t="s">
        <v>91</v>
      </c>
      <c r="D138" s="11" t="s">
        <v>72</v>
      </c>
      <c r="E138" s="107">
        <f>453854</f>
        <v>453854</v>
      </c>
      <c r="F138" s="132"/>
      <c r="G138" s="121">
        <f t="shared" si="2"/>
        <v>453854</v>
      </c>
    </row>
    <row r="139" spans="1:7" x14ac:dyDescent="0.25">
      <c r="A139" s="181"/>
      <c r="B139" s="177"/>
      <c r="C139" s="177"/>
      <c r="D139" s="14" t="s">
        <v>75</v>
      </c>
      <c r="E139" s="112">
        <v>26500</v>
      </c>
      <c r="F139" s="131"/>
      <c r="G139" s="104">
        <f t="shared" si="2"/>
        <v>26500</v>
      </c>
    </row>
    <row r="140" spans="1:7" x14ac:dyDescent="0.25">
      <c r="A140" s="181"/>
      <c r="B140" s="177"/>
      <c r="C140" s="177"/>
      <c r="D140" s="13" t="s">
        <v>92</v>
      </c>
      <c r="E140" s="109">
        <v>934050</v>
      </c>
      <c r="F140" s="131"/>
      <c r="G140" s="104">
        <f t="shared" si="2"/>
        <v>934050</v>
      </c>
    </row>
    <row r="141" spans="1:7" ht="15" customHeight="1" x14ac:dyDescent="0.25">
      <c r="A141" s="181"/>
      <c r="B141" s="178"/>
      <c r="C141" s="178"/>
      <c r="D141" s="15" t="s">
        <v>93</v>
      </c>
      <c r="E141" s="113">
        <v>2940</v>
      </c>
      <c r="F141" s="131"/>
      <c r="G141" s="104">
        <f t="shared" si="2"/>
        <v>2940</v>
      </c>
    </row>
    <row r="142" spans="1:7" ht="24.75" thickBot="1" x14ac:dyDescent="0.3">
      <c r="A142" s="182"/>
      <c r="B142" s="37" t="s">
        <v>73</v>
      </c>
      <c r="C142" s="38"/>
      <c r="D142" s="39"/>
      <c r="E142" s="108">
        <f>SUBTOTAL(9,E138:E141)</f>
        <v>1417344</v>
      </c>
      <c r="F142" s="126"/>
      <c r="G142" s="119">
        <f t="shared" si="2"/>
        <v>1417344</v>
      </c>
    </row>
    <row r="143" spans="1:7" ht="15" customHeight="1" x14ac:dyDescent="0.25">
      <c r="A143" s="180" t="s">
        <v>122</v>
      </c>
      <c r="B143" s="176" t="s">
        <v>125</v>
      </c>
      <c r="C143" s="176" t="s">
        <v>91</v>
      </c>
      <c r="D143" s="11" t="s">
        <v>72</v>
      </c>
      <c r="E143" s="107">
        <f>435372</f>
        <v>435372</v>
      </c>
      <c r="F143" s="132"/>
      <c r="G143" s="121">
        <f t="shared" si="2"/>
        <v>435372</v>
      </c>
    </row>
    <row r="144" spans="1:7" x14ac:dyDescent="0.25">
      <c r="A144" s="181"/>
      <c r="B144" s="177"/>
      <c r="C144" s="177"/>
      <c r="D144" s="14" t="s">
        <v>75</v>
      </c>
      <c r="E144" s="112">
        <v>25200</v>
      </c>
      <c r="F144" s="131"/>
      <c r="G144" s="104">
        <f t="shared" si="2"/>
        <v>25200</v>
      </c>
    </row>
    <row r="145" spans="1:7" x14ac:dyDescent="0.25">
      <c r="A145" s="181"/>
      <c r="B145" s="177"/>
      <c r="C145" s="177"/>
      <c r="D145" s="13" t="s">
        <v>92</v>
      </c>
      <c r="E145" s="109">
        <v>986380</v>
      </c>
      <c r="F145" s="131"/>
      <c r="G145" s="104">
        <f t="shared" si="2"/>
        <v>986380</v>
      </c>
    </row>
    <row r="146" spans="1:7" ht="15" customHeight="1" x14ac:dyDescent="0.25">
      <c r="A146" s="181"/>
      <c r="B146" s="178"/>
      <c r="C146" s="178"/>
      <c r="D146" s="15" t="s">
        <v>93</v>
      </c>
      <c r="E146" s="113">
        <v>7232</v>
      </c>
      <c r="F146" s="131"/>
      <c r="G146" s="104">
        <f t="shared" si="2"/>
        <v>7232</v>
      </c>
    </row>
    <row r="147" spans="1:7" ht="24.75" thickBot="1" x14ac:dyDescent="0.3">
      <c r="A147" s="182"/>
      <c r="B147" s="37" t="s">
        <v>73</v>
      </c>
      <c r="C147" s="38"/>
      <c r="D147" s="39"/>
      <c r="E147" s="108">
        <f>SUBTOTAL(9,E143:E146)</f>
        <v>1454184</v>
      </c>
      <c r="F147" s="126"/>
      <c r="G147" s="119">
        <f t="shared" ref="G147:G211" si="3">E147+F147</f>
        <v>1454184</v>
      </c>
    </row>
    <row r="148" spans="1:7" ht="15" customHeight="1" x14ac:dyDescent="0.25">
      <c r="A148" s="180" t="s">
        <v>124</v>
      </c>
      <c r="B148" s="176" t="s">
        <v>127</v>
      </c>
      <c r="C148" s="176" t="s">
        <v>91</v>
      </c>
      <c r="D148" s="11" t="s">
        <v>72</v>
      </c>
      <c r="E148" s="107">
        <f>357673</f>
        <v>357673</v>
      </c>
      <c r="F148" s="132"/>
      <c r="G148" s="121">
        <f t="shared" si="3"/>
        <v>357673</v>
      </c>
    </row>
    <row r="149" spans="1:7" x14ac:dyDescent="0.25">
      <c r="A149" s="181"/>
      <c r="B149" s="177"/>
      <c r="C149" s="177"/>
      <c r="D149" s="14" t="s">
        <v>75</v>
      </c>
      <c r="E149" s="112">
        <v>18300</v>
      </c>
      <c r="F149" s="131"/>
      <c r="G149" s="104">
        <f t="shared" si="3"/>
        <v>18300</v>
      </c>
    </row>
    <row r="150" spans="1:7" x14ac:dyDescent="0.25">
      <c r="A150" s="181"/>
      <c r="B150" s="177"/>
      <c r="C150" s="177"/>
      <c r="D150" s="13" t="s">
        <v>92</v>
      </c>
      <c r="E150" s="109">
        <v>651215</v>
      </c>
      <c r="F150" s="131"/>
      <c r="G150" s="104">
        <f t="shared" si="3"/>
        <v>651215</v>
      </c>
    </row>
    <row r="151" spans="1:7" ht="15" customHeight="1" x14ac:dyDescent="0.25">
      <c r="A151" s="181"/>
      <c r="B151" s="178"/>
      <c r="C151" s="178"/>
      <c r="D151" s="15" t="s">
        <v>93</v>
      </c>
      <c r="E151" s="113">
        <v>10525</v>
      </c>
      <c r="F151" s="131"/>
      <c r="G151" s="104">
        <f t="shared" si="3"/>
        <v>10525</v>
      </c>
    </row>
    <row r="152" spans="1:7" ht="24.75" thickBot="1" x14ac:dyDescent="0.3">
      <c r="A152" s="182"/>
      <c r="B152" s="37" t="s">
        <v>73</v>
      </c>
      <c r="C152" s="38"/>
      <c r="D152" s="39"/>
      <c r="E152" s="108">
        <f>SUBTOTAL(9,E148:E151)</f>
        <v>1037713</v>
      </c>
      <c r="F152" s="126"/>
      <c r="G152" s="119">
        <f t="shared" si="3"/>
        <v>1037713</v>
      </c>
    </row>
    <row r="153" spans="1:7" ht="15" customHeight="1" x14ac:dyDescent="0.25">
      <c r="A153" s="180" t="s">
        <v>126</v>
      </c>
      <c r="B153" s="176" t="s">
        <v>129</v>
      </c>
      <c r="C153" s="176" t="s">
        <v>91</v>
      </c>
      <c r="D153" s="11" t="s">
        <v>72</v>
      </c>
      <c r="E153" s="107">
        <f>247288</f>
        <v>247288</v>
      </c>
      <c r="F153" s="132"/>
      <c r="G153" s="121">
        <f t="shared" si="3"/>
        <v>247288</v>
      </c>
    </row>
    <row r="154" spans="1:7" x14ac:dyDescent="0.25">
      <c r="A154" s="181"/>
      <c r="B154" s="177"/>
      <c r="C154" s="177"/>
      <c r="D154" s="14" t="s">
        <v>75</v>
      </c>
      <c r="E154" s="112">
        <v>41300</v>
      </c>
      <c r="F154" s="131"/>
      <c r="G154" s="104">
        <f t="shared" si="3"/>
        <v>41300</v>
      </c>
    </row>
    <row r="155" spans="1:7" x14ac:dyDescent="0.25">
      <c r="A155" s="181"/>
      <c r="B155" s="177"/>
      <c r="C155" s="177"/>
      <c r="D155" s="13" t="s">
        <v>92</v>
      </c>
      <c r="E155" s="109">
        <f>497106</f>
        <v>497106</v>
      </c>
      <c r="F155" s="131"/>
      <c r="G155" s="104">
        <f t="shared" si="3"/>
        <v>497106</v>
      </c>
    </row>
    <row r="156" spans="1:7" ht="15" customHeight="1" x14ac:dyDescent="0.25">
      <c r="A156" s="181"/>
      <c r="B156" s="178"/>
      <c r="C156" s="178"/>
      <c r="D156" s="15" t="s">
        <v>93</v>
      </c>
      <c r="E156" s="113">
        <v>3528</v>
      </c>
      <c r="F156" s="131"/>
      <c r="G156" s="104">
        <f t="shared" si="3"/>
        <v>3528</v>
      </c>
    </row>
    <row r="157" spans="1:7" ht="24.75" thickBot="1" x14ac:dyDescent="0.3">
      <c r="A157" s="182"/>
      <c r="B157" s="37" t="s">
        <v>73</v>
      </c>
      <c r="C157" s="38"/>
      <c r="D157" s="39"/>
      <c r="E157" s="108">
        <f>SUBTOTAL(9,E153:E156)</f>
        <v>789222</v>
      </c>
      <c r="F157" s="126"/>
      <c r="G157" s="119">
        <f t="shared" si="3"/>
        <v>789222</v>
      </c>
    </row>
    <row r="158" spans="1:7" ht="15" customHeight="1" x14ac:dyDescent="0.25">
      <c r="A158" s="180" t="s">
        <v>128</v>
      </c>
      <c r="B158" s="176" t="s">
        <v>131</v>
      </c>
      <c r="C158" s="176" t="s">
        <v>91</v>
      </c>
      <c r="D158" s="11" t="s">
        <v>72</v>
      </c>
      <c r="E158" s="107">
        <f>835083</f>
        <v>835083</v>
      </c>
      <c r="F158" s="132"/>
      <c r="G158" s="121">
        <f t="shared" si="3"/>
        <v>835083</v>
      </c>
    </row>
    <row r="159" spans="1:7" x14ac:dyDescent="0.25">
      <c r="A159" s="181"/>
      <c r="B159" s="177"/>
      <c r="C159" s="177"/>
      <c r="D159" s="14" t="s">
        <v>75</v>
      </c>
      <c r="E159" s="112">
        <v>108400</v>
      </c>
      <c r="F159" s="133"/>
      <c r="G159" s="104">
        <f t="shared" si="3"/>
        <v>108400</v>
      </c>
    </row>
    <row r="160" spans="1:7" x14ac:dyDescent="0.25">
      <c r="A160" s="181"/>
      <c r="B160" s="177"/>
      <c r="C160" s="177"/>
      <c r="D160" s="13" t="s">
        <v>92</v>
      </c>
      <c r="E160" s="109">
        <f>1675312</f>
        <v>1675312</v>
      </c>
      <c r="F160" s="133"/>
      <c r="G160" s="104">
        <f t="shared" si="3"/>
        <v>1675312</v>
      </c>
    </row>
    <row r="161" spans="1:7" x14ac:dyDescent="0.25">
      <c r="A161" s="181"/>
      <c r="B161" s="178"/>
      <c r="C161" s="178"/>
      <c r="D161" s="15" t="s">
        <v>93</v>
      </c>
      <c r="E161" s="113">
        <v>43689</v>
      </c>
      <c r="F161" s="136"/>
      <c r="G161" s="104">
        <f t="shared" si="3"/>
        <v>43689</v>
      </c>
    </row>
    <row r="162" spans="1:7" ht="15" customHeight="1" thickBot="1" x14ac:dyDescent="0.3">
      <c r="A162" s="182"/>
      <c r="B162" s="37" t="s">
        <v>73</v>
      </c>
      <c r="C162" s="38"/>
      <c r="D162" s="39"/>
      <c r="E162" s="108">
        <f>SUBTOTAL(9,E158:E161)</f>
        <v>2662484</v>
      </c>
      <c r="F162" s="126"/>
      <c r="G162" s="119">
        <f t="shared" si="3"/>
        <v>2662484</v>
      </c>
    </row>
    <row r="163" spans="1:7" ht="15" customHeight="1" x14ac:dyDescent="0.25">
      <c r="A163" s="180" t="s">
        <v>130</v>
      </c>
      <c r="B163" s="176" t="s">
        <v>133</v>
      </c>
      <c r="C163" s="176" t="s">
        <v>91</v>
      </c>
      <c r="D163" s="11" t="s">
        <v>72</v>
      </c>
      <c r="E163" s="107">
        <f>578045</f>
        <v>578045</v>
      </c>
      <c r="F163" s="132"/>
      <c r="G163" s="121">
        <f t="shared" si="3"/>
        <v>578045</v>
      </c>
    </row>
    <row r="164" spans="1:7" x14ac:dyDescent="0.25">
      <c r="A164" s="181"/>
      <c r="B164" s="177"/>
      <c r="C164" s="177"/>
      <c r="D164" s="13" t="s">
        <v>75</v>
      </c>
      <c r="E164" s="109">
        <v>101600</v>
      </c>
      <c r="F164" s="131"/>
      <c r="G164" s="104">
        <f t="shared" si="3"/>
        <v>101600</v>
      </c>
    </row>
    <row r="165" spans="1:7" x14ac:dyDescent="0.25">
      <c r="A165" s="181"/>
      <c r="B165" s="177"/>
      <c r="C165" s="177"/>
      <c r="D165" s="14" t="s">
        <v>92</v>
      </c>
      <c r="E165" s="112">
        <f>655284</f>
        <v>655284</v>
      </c>
      <c r="F165" s="131"/>
      <c r="G165" s="104">
        <f t="shared" si="3"/>
        <v>655284</v>
      </c>
    </row>
    <row r="166" spans="1:7" x14ac:dyDescent="0.25">
      <c r="A166" s="181"/>
      <c r="B166" s="178"/>
      <c r="C166" s="178"/>
      <c r="D166" s="16" t="s">
        <v>93</v>
      </c>
      <c r="E166" s="114">
        <v>26049</v>
      </c>
      <c r="F166" s="131"/>
      <c r="G166" s="104">
        <f t="shared" si="3"/>
        <v>26049</v>
      </c>
    </row>
    <row r="167" spans="1:7" ht="15" customHeight="1" thickBot="1" x14ac:dyDescent="0.3">
      <c r="A167" s="182"/>
      <c r="B167" s="37" t="s">
        <v>73</v>
      </c>
      <c r="C167" s="38"/>
      <c r="D167" s="39"/>
      <c r="E167" s="108">
        <f>SUBTOTAL(9,E163:E166)</f>
        <v>1360978</v>
      </c>
      <c r="F167" s="126"/>
      <c r="G167" s="120">
        <f t="shared" si="3"/>
        <v>1360978</v>
      </c>
    </row>
    <row r="168" spans="1:7" ht="15" customHeight="1" x14ac:dyDescent="0.25">
      <c r="A168" s="180" t="s">
        <v>132</v>
      </c>
      <c r="B168" s="176" t="s">
        <v>135</v>
      </c>
      <c r="C168" s="176" t="s">
        <v>91</v>
      </c>
      <c r="D168" s="11" t="s">
        <v>72</v>
      </c>
      <c r="E168" s="107">
        <f>652120</f>
        <v>652120</v>
      </c>
      <c r="F168" s="132"/>
      <c r="G168" s="121">
        <f t="shared" si="3"/>
        <v>652120</v>
      </c>
    </row>
    <row r="169" spans="1:7" x14ac:dyDescent="0.25">
      <c r="A169" s="181"/>
      <c r="B169" s="177"/>
      <c r="C169" s="177"/>
      <c r="D169" s="13" t="s">
        <v>75</v>
      </c>
      <c r="E169" s="109">
        <v>123500</v>
      </c>
      <c r="F169" s="131"/>
      <c r="G169" s="104">
        <f t="shared" si="3"/>
        <v>123500</v>
      </c>
    </row>
    <row r="170" spans="1:7" x14ac:dyDescent="0.25">
      <c r="A170" s="181"/>
      <c r="B170" s="177"/>
      <c r="C170" s="177"/>
      <c r="D170" s="13" t="s">
        <v>92</v>
      </c>
      <c r="E170" s="109">
        <f>815151</f>
        <v>815151</v>
      </c>
      <c r="F170" s="131"/>
      <c r="G170" s="104">
        <f t="shared" si="3"/>
        <v>815151</v>
      </c>
    </row>
    <row r="171" spans="1:7" x14ac:dyDescent="0.25">
      <c r="A171" s="181"/>
      <c r="B171" s="178"/>
      <c r="C171" s="178"/>
      <c r="D171" s="15" t="s">
        <v>93</v>
      </c>
      <c r="E171" s="113">
        <v>35868</v>
      </c>
      <c r="F171" s="131"/>
      <c r="G171" s="104">
        <f t="shared" si="3"/>
        <v>35868</v>
      </c>
    </row>
    <row r="172" spans="1:7" ht="24.75" customHeight="1" thickBot="1" x14ac:dyDescent="0.3">
      <c r="A172" s="182"/>
      <c r="B172" s="37" t="s">
        <v>73</v>
      </c>
      <c r="C172" s="38"/>
      <c r="D172" s="39"/>
      <c r="E172" s="108">
        <f>SUBTOTAL(9,E168:E171)</f>
        <v>1626639</v>
      </c>
      <c r="F172" s="126"/>
      <c r="G172" s="119">
        <f t="shared" si="3"/>
        <v>1626639</v>
      </c>
    </row>
    <row r="173" spans="1:7" ht="15" customHeight="1" x14ac:dyDescent="0.25">
      <c r="A173" s="180" t="s">
        <v>134</v>
      </c>
      <c r="B173" s="176" t="s">
        <v>137</v>
      </c>
      <c r="C173" s="176" t="s">
        <v>91</v>
      </c>
      <c r="D173" s="11" t="s">
        <v>72</v>
      </c>
      <c r="E173" s="107">
        <f>654908</f>
        <v>654908</v>
      </c>
      <c r="F173" s="132"/>
      <c r="G173" s="121">
        <f t="shared" si="3"/>
        <v>654908</v>
      </c>
    </row>
    <row r="174" spans="1:7" x14ac:dyDescent="0.25">
      <c r="A174" s="181"/>
      <c r="B174" s="177"/>
      <c r="C174" s="177"/>
      <c r="D174" s="13" t="s">
        <v>75</v>
      </c>
      <c r="E174" s="112">
        <v>138700</v>
      </c>
      <c r="F174" s="131"/>
      <c r="G174" s="104">
        <f t="shared" si="3"/>
        <v>138700</v>
      </c>
    </row>
    <row r="175" spans="1:7" x14ac:dyDescent="0.25">
      <c r="A175" s="181"/>
      <c r="B175" s="177"/>
      <c r="C175" s="177"/>
      <c r="D175" s="13" t="s">
        <v>92</v>
      </c>
      <c r="E175" s="109">
        <f>773653</f>
        <v>773653</v>
      </c>
      <c r="F175" s="131"/>
      <c r="G175" s="104">
        <f t="shared" si="3"/>
        <v>773653</v>
      </c>
    </row>
    <row r="176" spans="1:7" x14ac:dyDescent="0.25">
      <c r="A176" s="181"/>
      <c r="B176" s="178"/>
      <c r="C176" s="178"/>
      <c r="D176" s="15" t="s">
        <v>93</v>
      </c>
      <c r="E176" s="113">
        <v>30047</v>
      </c>
      <c r="F176" s="131"/>
      <c r="G176" s="104">
        <f t="shared" si="3"/>
        <v>30047</v>
      </c>
    </row>
    <row r="177" spans="1:7" ht="23.25" customHeight="1" thickBot="1" x14ac:dyDescent="0.3">
      <c r="A177" s="182"/>
      <c r="B177" s="37" t="s">
        <v>73</v>
      </c>
      <c r="C177" s="38"/>
      <c r="D177" s="39"/>
      <c r="E177" s="108">
        <f>SUBTOTAL(9,E173:E176)</f>
        <v>1597308</v>
      </c>
      <c r="F177" s="126"/>
      <c r="G177" s="119">
        <f t="shared" si="3"/>
        <v>1597308</v>
      </c>
    </row>
    <row r="178" spans="1:7" ht="15" customHeight="1" x14ac:dyDescent="0.25">
      <c r="A178" s="180" t="s">
        <v>136</v>
      </c>
      <c r="B178" s="176" t="s">
        <v>139</v>
      </c>
      <c r="C178" s="176" t="s">
        <v>91</v>
      </c>
      <c r="D178" s="11" t="s">
        <v>72</v>
      </c>
      <c r="E178" s="107">
        <f>417346</f>
        <v>417346</v>
      </c>
      <c r="F178" s="132"/>
      <c r="G178" s="121">
        <f t="shared" si="3"/>
        <v>417346</v>
      </c>
    </row>
    <row r="179" spans="1:7" x14ac:dyDescent="0.25">
      <c r="A179" s="181"/>
      <c r="B179" s="177"/>
      <c r="C179" s="177"/>
      <c r="D179" s="13" t="s">
        <v>75</v>
      </c>
      <c r="E179" s="112">
        <v>77200</v>
      </c>
      <c r="F179" s="131"/>
      <c r="G179" s="104">
        <f t="shared" si="3"/>
        <v>77200</v>
      </c>
    </row>
    <row r="180" spans="1:7" x14ac:dyDescent="0.25">
      <c r="A180" s="181"/>
      <c r="B180" s="177"/>
      <c r="C180" s="177"/>
      <c r="D180" s="13" t="s">
        <v>92</v>
      </c>
      <c r="E180" s="109">
        <f>727072</f>
        <v>727072</v>
      </c>
      <c r="F180" s="131"/>
      <c r="G180" s="104">
        <f t="shared" si="3"/>
        <v>727072</v>
      </c>
    </row>
    <row r="181" spans="1:7" x14ac:dyDescent="0.25">
      <c r="A181" s="181"/>
      <c r="B181" s="178"/>
      <c r="C181" s="178"/>
      <c r="D181" s="15" t="s">
        <v>93</v>
      </c>
      <c r="E181" s="113">
        <v>11290</v>
      </c>
      <c r="F181" s="131"/>
      <c r="G181" s="104">
        <f t="shared" si="3"/>
        <v>11290</v>
      </c>
    </row>
    <row r="182" spans="1:7" ht="24.75" customHeight="1" thickBot="1" x14ac:dyDescent="0.3">
      <c r="A182" s="182"/>
      <c r="B182" s="37" t="s">
        <v>73</v>
      </c>
      <c r="C182" s="38"/>
      <c r="D182" s="39"/>
      <c r="E182" s="108">
        <f>SUBTOTAL(9,E178:E181)</f>
        <v>1232908</v>
      </c>
      <c r="F182" s="126"/>
      <c r="G182" s="119">
        <f t="shared" si="3"/>
        <v>1232908</v>
      </c>
    </row>
    <row r="183" spans="1:7" ht="15" customHeight="1" x14ac:dyDescent="0.25">
      <c r="A183" s="180" t="s">
        <v>138</v>
      </c>
      <c r="B183" s="176" t="s">
        <v>141</v>
      </c>
      <c r="C183" s="176" t="s">
        <v>91</v>
      </c>
      <c r="D183" s="11" t="s">
        <v>72</v>
      </c>
      <c r="E183" s="122">
        <v>780892</v>
      </c>
      <c r="F183" s="148">
        <v>7000</v>
      </c>
      <c r="G183" s="121">
        <f t="shared" si="3"/>
        <v>787892</v>
      </c>
    </row>
    <row r="184" spans="1:7" x14ac:dyDescent="0.25">
      <c r="A184" s="181"/>
      <c r="B184" s="177"/>
      <c r="C184" s="177"/>
      <c r="D184" s="13" t="s">
        <v>75</v>
      </c>
      <c r="E184" s="123">
        <v>43600</v>
      </c>
      <c r="F184" s="128"/>
      <c r="G184" s="104">
        <f t="shared" si="3"/>
        <v>43600</v>
      </c>
    </row>
    <row r="185" spans="1:7" x14ac:dyDescent="0.25">
      <c r="A185" s="181"/>
      <c r="B185" s="177"/>
      <c r="C185" s="177"/>
      <c r="D185" s="13" t="s">
        <v>92</v>
      </c>
      <c r="E185" s="142">
        <f>281174</f>
        <v>281174</v>
      </c>
      <c r="F185" s="129"/>
      <c r="G185" s="104">
        <f t="shared" si="3"/>
        <v>281174</v>
      </c>
    </row>
    <row r="186" spans="1:7" x14ac:dyDescent="0.25">
      <c r="A186" s="181"/>
      <c r="B186" s="178"/>
      <c r="C186" s="178"/>
      <c r="D186" s="15" t="s">
        <v>93</v>
      </c>
      <c r="E186" s="143">
        <v>145285</v>
      </c>
      <c r="F186" s="112"/>
      <c r="G186" s="104">
        <f t="shared" si="3"/>
        <v>145285</v>
      </c>
    </row>
    <row r="187" spans="1:7" ht="25.5" customHeight="1" thickBot="1" x14ac:dyDescent="0.3">
      <c r="A187" s="182"/>
      <c r="B187" s="37" t="s">
        <v>73</v>
      </c>
      <c r="C187" s="38"/>
      <c r="D187" s="39"/>
      <c r="E187" s="118">
        <f>SUBTOTAL(9,E183:E186)</f>
        <v>1250951</v>
      </c>
      <c r="F187" s="108">
        <f>SUBTOTAL(9,F183:F186)</f>
        <v>7000</v>
      </c>
      <c r="G187" s="119">
        <f t="shared" si="3"/>
        <v>1257951</v>
      </c>
    </row>
    <row r="188" spans="1:7" ht="15" customHeight="1" x14ac:dyDescent="0.25">
      <c r="A188" s="180" t="s">
        <v>140</v>
      </c>
      <c r="B188" s="176" t="s">
        <v>143</v>
      </c>
      <c r="C188" s="176" t="s">
        <v>91</v>
      </c>
      <c r="D188" s="11" t="s">
        <v>72</v>
      </c>
      <c r="E188" s="122">
        <f>728233</f>
        <v>728233</v>
      </c>
      <c r="F188" s="141"/>
      <c r="G188" s="121">
        <f t="shared" si="3"/>
        <v>728233</v>
      </c>
    </row>
    <row r="189" spans="1:7" x14ac:dyDescent="0.25">
      <c r="A189" s="181"/>
      <c r="B189" s="177"/>
      <c r="C189" s="177"/>
      <c r="D189" s="13" t="s">
        <v>75</v>
      </c>
      <c r="E189" s="123">
        <v>59700</v>
      </c>
      <c r="F189" s="129"/>
      <c r="G189" s="104">
        <f t="shared" si="3"/>
        <v>59700</v>
      </c>
    </row>
    <row r="190" spans="1:7" x14ac:dyDescent="0.25">
      <c r="A190" s="181"/>
      <c r="B190" s="177"/>
      <c r="C190" s="177"/>
      <c r="D190" s="13" t="s">
        <v>92</v>
      </c>
      <c r="E190" s="142">
        <f>72608</f>
        <v>72608</v>
      </c>
      <c r="F190" s="128"/>
      <c r="G190" s="104">
        <f t="shared" si="3"/>
        <v>72608</v>
      </c>
    </row>
    <row r="191" spans="1:7" x14ac:dyDescent="0.25">
      <c r="A191" s="181"/>
      <c r="B191" s="178"/>
      <c r="C191" s="178"/>
      <c r="D191" s="15" t="s">
        <v>93</v>
      </c>
      <c r="E191" s="143">
        <v>84026</v>
      </c>
      <c r="F191" s="128"/>
      <c r="G191" s="104">
        <f t="shared" si="3"/>
        <v>84026</v>
      </c>
    </row>
    <row r="192" spans="1:7" ht="23.25" customHeight="1" thickBot="1" x14ac:dyDescent="0.3">
      <c r="A192" s="182"/>
      <c r="B192" s="37" t="s">
        <v>73</v>
      </c>
      <c r="C192" s="38"/>
      <c r="D192" s="39"/>
      <c r="E192" s="118">
        <f>SUBTOTAL(9,E188:E191)</f>
        <v>944567</v>
      </c>
      <c r="F192" s="108">
        <f>SUBTOTAL(9,F188:F191)</f>
        <v>0</v>
      </c>
      <c r="G192" s="119">
        <f t="shared" si="3"/>
        <v>944567</v>
      </c>
    </row>
    <row r="193" spans="1:7" ht="15" customHeight="1" x14ac:dyDescent="0.25">
      <c r="A193" s="180" t="s">
        <v>197</v>
      </c>
      <c r="B193" s="176" t="s">
        <v>145</v>
      </c>
      <c r="C193" s="176" t="s">
        <v>91</v>
      </c>
      <c r="D193" s="11" t="s">
        <v>72</v>
      </c>
      <c r="E193" s="107">
        <f>1318491</f>
        <v>1318491</v>
      </c>
      <c r="F193" s="132"/>
      <c r="G193" s="121">
        <f t="shared" si="3"/>
        <v>1318491</v>
      </c>
    </row>
    <row r="194" spans="1:7" x14ac:dyDescent="0.25">
      <c r="A194" s="181"/>
      <c r="B194" s="177"/>
      <c r="C194" s="177"/>
      <c r="D194" s="13" t="s">
        <v>75</v>
      </c>
      <c r="E194" s="109">
        <v>175100</v>
      </c>
      <c r="F194" s="131"/>
      <c r="G194" s="104">
        <f t="shared" si="3"/>
        <v>175100</v>
      </c>
    </row>
    <row r="195" spans="1:7" x14ac:dyDescent="0.25">
      <c r="A195" s="181"/>
      <c r="B195" s="177"/>
      <c r="C195" s="177"/>
      <c r="D195" s="13" t="s">
        <v>92</v>
      </c>
      <c r="E195" s="109">
        <f>48032</f>
        <v>48032</v>
      </c>
      <c r="F195" s="131"/>
      <c r="G195" s="104">
        <f t="shared" si="3"/>
        <v>48032</v>
      </c>
    </row>
    <row r="196" spans="1:7" x14ac:dyDescent="0.25">
      <c r="A196" s="181"/>
      <c r="B196" s="178"/>
      <c r="C196" s="178"/>
      <c r="D196" s="15" t="s">
        <v>93</v>
      </c>
      <c r="E196" s="113">
        <v>228852</v>
      </c>
      <c r="F196" s="131"/>
      <c r="G196" s="104">
        <f t="shared" si="3"/>
        <v>228852</v>
      </c>
    </row>
    <row r="197" spans="1:7" ht="21" customHeight="1" thickBot="1" x14ac:dyDescent="0.3">
      <c r="A197" s="182"/>
      <c r="B197" s="37" t="s">
        <v>73</v>
      </c>
      <c r="C197" s="38"/>
      <c r="D197" s="39"/>
      <c r="E197" s="108">
        <f>SUBTOTAL(9,E193:E196)</f>
        <v>1770475</v>
      </c>
      <c r="F197" s="126"/>
      <c r="G197" s="119">
        <f t="shared" si="3"/>
        <v>1770475</v>
      </c>
    </row>
    <row r="198" spans="1:7" ht="15" customHeight="1" x14ac:dyDescent="0.25">
      <c r="A198" s="180" t="s">
        <v>142</v>
      </c>
      <c r="B198" s="176" t="s">
        <v>147</v>
      </c>
      <c r="C198" s="176" t="s">
        <v>91</v>
      </c>
      <c r="D198" s="11" t="s">
        <v>72</v>
      </c>
      <c r="E198" s="107">
        <f>458756</f>
        <v>458756</v>
      </c>
      <c r="F198" s="132"/>
      <c r="G198" s="121">
        <f t="shared" si="3"/>
        <v>458756</v>
      </c>
    </row>
    <row r="199" spans="1:7" x14ac:dyDescent="0.25">
      <c r="A199" s="181"/>
      <c r="B199" s="177"/>
      <c r="C199" s="177"/>
      <c r="D199" s="13" t="s">
        <v>75</v>
      </c>
      <c r="E199" s="109">
        <v>50400</v>
      </c>
      <c r="F199" s="131"/>
      <c r="G199" s="104">
        <f t="shared" si="3"/>
        <v>50400</v>
      </c>
    </row>
    <row r="200" spans="1:7" x14ac:dyDescent="0.25">
      <c r="A200" s="181"/>
      <c r="B200" s="177"/>
      <c r="C200" s="177"/>
      <c r="D200" s="13" t="s">
        <v>92</v>
      </c>
      <c r="E200" s="112">
        <f>20868</f>
        <v>20868</v>
      </c>
      <c r="F200" s="131"/>
      <c r="G200" s="104">
        <f t="shared" si="3"/>
        <v>20868</v>
      </c>
    </row>
    <row r="201" spans="1:7" x14ac:dyDescent="0.25">
      <c r="A201" s="181"/>
      <c r="B201" s="178"/>
      <c r="C201" s="178"/>
      <c r="D201" s="15" t="s">
        <v>93</v>
      </c>
      <c r="E201" s="114">
        <v>65621</v>
      </c>
      <c r="F201" s="131"/>
      <c r="G201" s="104">
        <f t="shared" si="3"/>
        <v>65621</v>
      </c>
    </row>
    <row r="202" spans="1:7" ht="24" customHeight="1" thickBot="1" x14ac:dyDescent="0.3">
      <c r="A202" s="181"/>
      <c r="B202" s="40" t="s">
        <v>73</v>
      </c>
      <c r="C202" s="41"/>
      <c r="D202" s="42"/>
      <c r="E202" s="115">
        <f>SUBTOTAL(9,E198:E201)</f>
        <v>595645</v>
      </c>
      <c r="F202" s="138"/>
      <c r="G202" s="119">
        <f t="shared" si="3"/>
        <v>595645</v>
      </c>
    </row>
    <row r="203" spans="1:7" ht="15" customHeight="1" x14ac:dyDescent="0.25">
      <c r="A203" s="180" t="s">
        <v>144</v>
      </c>
      <c r="B203" s="176" t="s">
        <v>149</v>
      </c>
      <c r="C203" s="176" t="s">
        <v>95</v>
      </c>
      <c r="D203" s="88" t="s">
        <v>72</v>
      </c>
      <c r="E203" s="107">
        <v>1244074</v>
      </c>
      <c r="F203" s="130"/>
      <c r="G203" s="121">
        <f t="shared" si="3"/>
        <v>1244074</v>
      </c>
    </row>
    <row r="204" spans="1:7" x14ac:dyDescent="0.25">
      <c r="A204" s="181"/>
      <c r="B204" s="177"/>
      <c r="C204" s="177"/>
      <c r="D204" s="13" t="s">
        <v>75</v>
      </c>
      <c r="E204" s="109">
        <v>73000</v>
      </c>
      <c r="F204" s="131"/>
      <c r="G204" s="104">
        <f t="shared" si="3"/>
        <v>73000</v>
      </c>
    </row>
    <row r="205" spans="1:7" x14ac:dyDescent="0.25">
      <c r="A205" s="181"/>
      <c r="B205" s="178"/>
      <c r="C205" s="178"/>
      <c r="D205" s="13" t="s">
        <v>93</v>
      </c>
      <c r="E205" s="109">
        <v>32885</v>
      </c>
      <c r="F205" s="137"/>
      <c r="G205" s="104">
        <f t="shared" si="3"/>
        <v>32885</v>
      </c>
    </row>
    <row r="206" spans="1:7" ht="21.75" customHeight="1" thickBot="1" x14ac:dyDescent="0.3">
      <c r="A206" s="182"/>
      <c r="B206" s="37" t="s">
        <v>73</v>
      </c>
      <c r="C206" s="38"/>
      <c r="D206" s="39"/>
      <c r="E206" s="108">
        <f>SUBTOTAL(9,E203:E205)</f>
        <v>1349959</v>
      </c>
      <c r="F206" s="126"/>
      <c r="G206" s="119">
        <f t="shared" si="3"/>
        <v>1349959</v>
      </c>
    </row>
    <row r="207" spans="1:7" ht="15" customHeight="1" x14ac:dyDescent="0.25">
      <c r="A207" s="181" t="s">
        <v>146</v>
      </c>
      <c r="B207" s="176" t="s">
        <v>150</v>
      </c>
      <c r="C207" s="176" t="s">
        <v>95</v>
      </c>
      <c r="D207" s="87" t="s">
        <v>72</v>
      </c>
      <c r="E207" s="111">
        <f>2445195</f>
        <v>2445195</v>
      </c>
      <c r="F207" s="132"/>
      <c r="G207" s="121">
        <f t="shared" si="3"/>
        <v>2445195</v>
      </c>
    </row>
    <row r="208" spans="1:7" x14ac:dyDescent="0.25">
      <c r="A208" s="181"/>
      <c r="B208" s="177"/>
      <c r="C208" s="177"/>
      <c r="D208" s="13" t="s">
        <v>75</v>
      </c>
      <c r="E208" s="109">
        <v>183800</v>
      </c>
      <c r="F208" s="131"/>
      <c r="G208" s="104">
        <f t="shared" si="3"/>
        <v>183800</v>
      </c>
    </row>
    <row r="209" spans="1:7" x14ac:dyDescent="0.25">
      <c r="A209" s="181"/>
      <c r="B209" s="177"/>
      <c r="C209" s="177"/>
      <c r="D209" s="13" t="s">
        <v>76</v>
      </c>
      <c r="E209" s="109">
        <v>506600</v>
      </c>
      <c r="F209" s="131"/>
      <c r="G209" s="104">
        <f t="shared" si="3"/>
        <v>506600</v>
      </c>
    </row>
    <row r="210" spans="1:7" x14ac:dyDescent="0.25">
      <c r="A210" s="181"/>
      <c r="B210" s="177"/>
      <c r="C210" s="177"/>
      <c r="D210" s="13" t="s">
        <v>93</v>
      </c>
      <c r="E210" s="109">
        <v>122280</v>
      </c>
      <c r="F210" s="131"/>
      <c r="G210" s="104">
        <f t="shared" si="3"/>
        <v>122280</v>
      </c>
    </row>
    <row r="211" spans="1:7" x14ac:dyDescent="0.25">
      <c r="A211" s="181"/>
      <c r="B211" s="177"/>
      <c r="C211" s="177"/>
      <c r="D211" s="144" t="s">
        <v>77</v>
      </c>
      <c r="E211" s="113">
        <v>32214</v>
      </c>
      <c r="F211" s="138"/>
      <c r="G211" s="104">
        <f t="shared" si="3"/>
        <v>32214</v>
      </c>
    </row>
    <row r="212" spans="1:7" x14ac:dyDescent="0.25">
      <c r="A212" s="181"/>
      <c r="B212" s="178"/>
      <c r="C212" s="178"/>
      <c r="D212" s="144" t="s">
        <v>81</v>
      </c>
      <c r="E212" s="113">
        <v>8053</v>
      </c>
      <c r="F212" s="138"/>
      <c r="G212" s="104">
        <f t="shared" ref="G212" si="4">E212+F212</f>
        <v>8053</v>
      </c>
    </row>
    <row r="213" spans="1:7" ht="24.75" thickBot="1" x14ac:dyDescent="0.3">
      <c r="A213" s="181"/>
      <c r="B213" s="40" t="s">
        <v>73</v>
      </c>
      <c r="C213" s="41"/>
      <c r="D213" s="42"/>
      <c r="E213" s="115">
        <f>SUBTOTAL(9,E207:E212)</f>
        <v>3298142</v>
      </c>
      <c r="F213" s="139"/>
      <c r="G213" s="119">
        <f t="shared" ref="G213:G247" si="5">E213+F213</f>
        <v>3298142</v>
      </c>
    </row>
    <row r="214" spans="1:7" ht="15.75" customHeight="1" x14ac:dyDescent="0.25">
      <c r="A214" s="211" t="s">
        <v>148</v>
      </c>
      <c r="B214" s="213" t="s">
        <v>198</v>
      </c>
      <c r="C214" s="213" t="s">
        <v>96</v>
      </c>
      <c r="D214" s="44" t="s">
        <v>72</v>
      </c>
      <c r="E214" s="145">
        <v>680258</v>
      </c>
      <c r="F214" s="170"/>
      <c r="G214" s="121">
        <f t="shared" si="5"/>
        <v>680258</v>
      </c>
    </row>
    <row r="215" spans="1:7" ht="19.5" customHeight="1" x14ac:dyDescent="0.25">
      <c r="A215" s="181"/>
      <c r="B215" s="214"/>
      <c r="C215" s="214"/>
      <c r="D215" s="45" t="s">
        <v>75</v>
      </c>
      <c r="E215" s="146">
        <v>530700</v>
      </c>
      <c r="F215" s="129"/>
      <c r="G215" s="104">
        <f t="shared" si="5"/>
        <v>530700</v>
      </c>
    </row>
    <row r="216" spans="1:7" ht="24.75" thickBot="1" x14ac:dyDescent="0.3">
      <c r="A216" s="212"/>
      <c r="B216" s="37" t="s">
        <v>73</v>
      </c>
      <c r="C216" s="43"/>
      <c r="D216" s="39"/>
      <c r="E216" s="118">
        <f>E214+E215</f>
        <v>1210958</v>
      </c>
      <c r="F216" s="108">
        <f>F214+F215</f>
        <v>0</v>
      </c>
      <c r="G216" s="105">
        <f t="shared" si="5"/>
        <v>1210958</v>
      </c>
    </row>
    <row r="217" spans="1:7" ht="15.75" thickBot="1" x14ac:dyDescent="0.3">
      <c r="A217" s="208" t="s">
        <v>151</v>
      </c>
      <c r="B217" s="209"/>
      <c r="C217" s="210"/>
      <c r="D217" s="49"/>
      <c r="E217" s="116">
        <f>E12+E68+E71+E73+E75+E77+E79+E81+E83+E85+E87+E89+E93+E97+E100+E104+E109+E113+E117+E122+E127+E132+E137+E142+E147+E152+E157+E162+E167+E172+E177+E182+E187+E192+E197+E202+E206+E213+E216</f>
        <v>102847492</v>
      </c>
      <c r="F217" s="116">
        <f>F12+F68+F71+F73+F75+F77+F79+F81+F83+F85+F87+F89+F93+F97+F100+F104+F109+F113+F117+F122+F127+F132+F137+F142+F147+F152+F157+F162+F167+F172+F177+F182+F187+F192+F197+F202+F206+F213+F216</f>
        <v>209774</v>
      </c>
      <c r="G217" s="106">
        <f t="shared" si="5"/>
        <v>103057266</v>
      </c>
    </row>
    <row r="218" spans="1:7" ht="15.75" thickBot="1" x14ac:dyDescent="0.3">
      <c r="A218" s="54"/>
      <c r="B218" s="54"/>
      <c r="C218" s="54"/>
      <c r="D218" s="55"/>
      <c r="E218" s="56"/>
      <c r="F218" s="93"/>
      <c r="G218" s="94"/>
    </row>
    <row r="219" spans="1:7" ht="38.25" customHeight="1" thickBot="1" x14ac:dyDescent="0.3">
      <c r="A219" s="54"/>
      <c r="B219" s="155" t="s">
        <v>152</v>
      </c>
      <c r="C219" s="189" t="s">
        <v>153</v>
      </c>
      <c r="D219" s="190"/>
      <c r="E219" s="156" t="s">
        <v>199</v>
      </c>
      <c r="F219" s="151" t="s">
        <v>183</v>
      </c>
      <c r="G219" s="157" t="s">
        <v>184</v>
      </c>
    </row>
    <row r="220" spans="1:7" ht="15" customHeight="1" x14ac:dyDescent="0.25">
      <c r="A220" s="54"/>
      <c r="B220" s="152" t="s">
        <v>154</v>
      </c>
      <c r="C220" s="207" t="s">
        <v>155</v>
      </c>
      <c r="D220" s="207"/>
      <c r="E220" s="153">
        <f>E12+E19+E71</f>
        <v>8992560</v>
      </c>
      <c r="F220" s="153"/>
      <c r="G220" s="154">
        <f t="shared" si="5"/>
        <v>8992560</v>
      </c>
    </row>
    <row r="221" spans="1:7" ht="15" customHeight="1" x14ac:dyDescent="0.25">
      <c r="A221" s="54"/>
      <c r="B221" s="17" t="s">
        <v>156</v>
      </c>
      <c r="C221" s="185" t="s">
        <v>157</v>
      </c>
      <c r="D221" s="185"/>
      <c r="E221" s="57">
        <f>E22+E73+E75+E77+E79+E81+E83+E85+E87+E89</f>
        <v>5193057</v>
      </c>
      <c r="F221" s="57"/>
      <c r="G221" s="92">
        <f t="shared" si="5"/>
        <v>5193057</v>
      </c>
    </row>
    <row r="222" spans="1:7" x14ac:dyDescent="0.25">
      <c r="A222" s="54"/>
      <c r="B222" s="17" t="s">
        <v>158</v>
      </c>
      <c r="C222" s="185" t="s">
        <v>159</v>
      </c>
      <c r="D222" s="185"/>
      <c r="E222" s="57">
        <f>E28</f>
        <v>1880668</v>
      </c>
      <c r="F222" s="57"/>
      <c r="G222" s="92">
        <f t="shared" si="5"/>
        <v>1880668</v>
      </c>
    </row>
    <row r="223" spans="1:7" ht="24.75" customHeight="1" x14ac:dyDescent="0.25">
      <c r="A223" s="54"/>
      <c r="B223" s="17" t="s">
        <v>160</v>
      </c>
      <c r="C223" s="185" t="s">
        <v>161</v>
      </c>
      <c r="D223" s="185"/>
      <c r="E223" s="57">
        <f>E36</f>
        <v>13305375</v>
      </c>
      <c r="F223" s="57">
        <f>F36</f>
        <v>148178</v>
      </c>
      <c r="G223" s="92">
        <f t="shared" si="5"/>
        <v>13453553</v>
      </c>
    </row>
    <row r="224" spans="1:7" ht="15" customHeight="1" x14ac:dyDescent="0.25">
      <c r="A224" s="54"/>
      <c r="B224" s="17" t="s">
        <v>162</v>
      </c>
      <c r="C224" s="185" t="s">
        <v>163</v>
      </c>
      <c r="D224" s="185"/>
      <c r="E224" s="57">
        <f>E43</f>
        <v>12531564</v>
      </c>
      <c r="F224" s="57"/>
      <c r="G224" s="92">
        <f t="shared" si="5"/>
        <v>12531564</v>
      </c>
    </row>
    <row r="225" spans="1:7" ht="15" customHeight="1" x14ac:dyDescent="0.25">
      <c r="A225" s="54"/>
      <c r="B225" s="17" t="s">
        <v>164</v>
      </c>
      <c r="C225" s="185" t="s">
        <v>165</v>
      </c>
      <c r="D225" s="185"/>
      <c r="E225" s="57">
        <f>E46+E93</f>
        <v>869481</v>
      </c>
      <c r="F225" s="30">
        <f>F92</f>
        <v>38306</v>
      </c>
      <c r="G225" s="92">
        <f t="shared" si="5"/>
        <v>907787</v>
      </c>
    </row>
    <row r="226" spans="1:7" ht="26.25" customHeight="1" x14ac:dyDescent="0.25">
      <c r="A226" s="54"/>
      <c r="B226" s="17" t="s">
        <v>166</v>
      </c>
      <c r="C226" s="185" t="s">
        <v>167</v>
      </c>
      <c r="D226" s="185"/>
      <c r="E226" s="57">
        <f>E48+E97+E100+E104+E109</f>
        <v>6041592</v>
      </c>
      <c r="F226" s="57">
        <f>F48+F97+F100+F104+F109</f>
        <v>37090</v>
      </c>
      <c r="G226" s="92">
        <f t="shared" si="5"/>
        <v>6078682</v>
      </c>
    </row>
    <row r="227" spans="1:7" x14ac:dyDescent="0.25">
      <c r="A227" s="54"/>
      <c r="B227" s="17" t="s">
        <v>168</v>
      </c>
      <c r="C227" s="185" t="s">
        <v>169</v>
      </c>
      <c r="D227" s="185"/>
      <c r="E227" s="57">
        <f>E55+E113+E117+E122+E127+E132+E137+E142+E147+E152+E157+E162+E167+E172+E177+E182+E187+E192+E197+E202</f>
        <v>40944738</v>
      </c>
      <c r="F227" s="57">
        <f>F55+F113+F117+F122+F127+F132+F137+F142+F147+F152+F157+F162+F167+F172+F177+F182+F187+F192+F197+F202</f>
        <v>7000</v>
      </c>
      <c r="G227" s="92">
        <f t="shared" si="5"/>
        <v>40951738</v>
      </c>
    </row>
    <row r="228" spans="1:7" ht="15.75" customHeight="1" x14ac:dyDescent="0.25">
      <c r="A228" s="54"/>
      <c r="B228" s="17" t="s">
        <v>170</v>
      </c>
      <c r="C228" s="185" t="s">
        <v>171</v>
      </c>
      <c r="D228" s="185"/>
      <c r="E228" s="57">
        <f>E61+E206+E213</f>
        <v>10710671</v>
      </c>
      <c r="F228" s="57">
        <f>F61+F206+F213</f>
        <v>-20800</v>
      </c>
      <c r="G228" s="92">
        <f t="shared" si="5"/>
        <v>10689871</v>
      </c>
    </row>
    <row r="229" spans="1:7" x14ac:dyDescent="0.25">
      <c r="A229" s="54"/>
      <c r="B229" s="17">
        <v>10</v>
      </c>
      <c r="C229" s="206" t="s">
        <v>172</v>
      </c>
      <c r="D229" s="206"/>
      <c r="E229" s="57">
        <f>E63+E216</f>
        <v>2029458</v>
      </c>
      <c r="F229" s="30"/>
      <c r="G229" s="92">
        <f t="shared" si="5"/>
        <v>2029458</v>
      </c>
    </row>
    <row r="230" spans="1:7" ht="24.75" customHeight="1" thickBot="1" x14ac:dyDescent="0.3">
      <c r="A230" s="54"/>
      <c r="B230" s="159">
        <v>11</v>
      </c>
      <c r="C230" s="186" t="s">
        <v>173</v>
      </c>
      <c r="D230" s="186"/>
      <c r="E230" s="160">
        <f>E67</f>
        <v>348328</v>
      </c>
      <c r="F230" s="161">
        <f>+F67</f>
        <v>0</v>
      </c>
      <c r="G230" s="162">
        <f t="shared" si="5"/>
        <v>348328</v>
      </c>
    </row>
    <row r="231" spans="1:7" ht="21" customHeight="1" thickBot="1" x14ac:dyDescent="0.3">
      <c r="A231" s="54"/>
      <c r="B231" s="187" t="s">
        <v>151</v>
      </c>
      <c r="C231" s="188"/>
      <c r="D231" s="188"/>
      <c r="E231" s="163">
        <f>SUBTOTAL(9,E220:E230)</f>
        <v>102847492</v>
      </c>
      <c r="F231" s="165">
        <f>SUBTOTAL(9,F220:F230)</f>
        <v>209774</v>
      </c>
      <c r="G231" s="164">
        <f t="shared" si="5"/>
        <v>103057266</v>
      </c>
    </row>
    <row r="232" spans="1:7" ht="22.5" customHeight="1" thickBot="1" x14ac:dyDescent="0.3">
      <c r="A232" s="54"/>
      <c r="B232" s="54"/>
      <c r="C232" s="54"/>
      <c r="D232" s="55"/>
      <c r="E232" s="56"/>
      <c r="F232" s="95"/>
      <c r="G232" s="96"/>
    </row>
    <row r="233" spans="1:7" ht="36" customHeight="1" thickBot="1" x14ac:dyDescent="0.3">
      <c r="A233" s="54"/>
      <c r="B233" s="155" t="s">
        <v>174</v>
      </c>
      <c r="C233" s="189" t="s">
        <v>153</v>
      </c>
      <c r="D233" s="190"/>
      <c r="E233" s="158" t="s">
        <v>199</v>
      </c>
      <c r="F233" s="151" t="s">
        <v>183</v>
      </c>
      <c r="G233" s="157" t="s">
        <v>184</v>
      </c>
    </row>
    <row r="234" spans="1:7" ht="25.5" customHeight="1" x14ac:dyDescent="0.25">
      <c r="A234" s="54"/>
      <c r="B234" s="97" t="s">
        <v>72</v>
      </c>
      <c r="C234" s="192" t="s">
        <v>175</v>
      </c>
      <c r="D234" s="192"/>
      <c r="E234" s="167">
        <f>E11+E13+E20+E23+E29+E37+E44+E47+E49+E56+E62+E64+E69+E72+E74+E76+E78+E80+E82+E84+E86+E88+E90+E94+E98+E101+E105+E110+E114+E118+E123+E128+E133+E138+E143+E148+E153+E158+E163+E168+E173+E178+E183+E188+E193+E198+E203+E207+E214</f>
        <v>56059434</v>
      </c>
      <c r="F234" s="167">
        <f>F11+F13+F20+F23+F29+F37+F44+F47+F49+F56+F62+F64+F69+F72+F74+F76+F78+F80+F82+F84+F86+F88+F90+F94+F98+F101+F105+F110+F114+F118+F123+F128+F133+F138+F143+F148+F153+F158+F163+F168+F173+F178+F183+F188+F193+F198+F203+F207+F214</f>
        <v>7000</v>
      </c>
      <c r="G234" s="91">
        <f t="shared" si="5"/>
        <v>56066434</v>
      </c>
    </row>
    <row r="235" spans="1:7" x14ac:dyDescent="0.25">
      <c r="A235" s="54"/>
      <c r="B235" s="50" t="s">
        <v>75</v>
      </c>
      <c r="C235" s="179" t="s">
        <v>176</v>
      </c>
      <c r="D235" s="179"/>
      <c r="E235" s="58">
        <f>E14+E21+E95+E99+E102+E106+E111+E115+E119+E124+E129+E134+E139+E144+E149+E154+E159+E164+E169+E174+E179+E184+E189+E194+E199+E204+E208+E215</f>
        <v>3126700</v>
      </c>
      <c r="F235" s="61"/>
      <c r="G235" s="92">
        <f t="shared" si="5"/>
        <v>3126700</v>
      </c>
    </row>
    <row r="236" spans="1:7" ht="27.75" customHeight="1" x14ac:dyDescent="0.25">
      <c r="A236" s="54"/>
      <c r="B236" s="50" t="s">
        <v>76</v>
      </c>
      <c r="C236" s="179" t="s">
        <v>177</v>
      </c>
      <c r="D236" s="179"/>
      <c r="E236" s="61">
        <f>E15+E24+E57+E66+E70+E91+E209</f>
        <v>5271517</v>
      </c>
      <c r="F236" s="61">
        <f>F15+F24+F57+F66+F70+F91+F209</f>
        <v>-20800</v>
      </c>
      <c r="G236" s="92">
        <f t="shared" si="5"/>
        <v>5250717</v>
      </c>
    </row>
    <row r="237" spans="1:7" x14ac:dyDescent="0.25">
      <c r="A237" s="54"/>
      <c r="B237" s="50" t="s">
        <v>196</v>
      </c>
      <c r="C237" s="193" t="s">
        <v>200</v>
      </c>
      <c r="D237" s="194"/>
      <c r="E237" s="58">
        <f>E40</f>
        <v>2531200</v>
      </c>
      <c r="F237" s="58">
        <f>F40</f>
        <v>0</v>
      </c>
      <c r="G237" s="92">
        <f t="shared" si="5"/>
        <v>2531200</v>
      </c>
    </row>
    <row r="238" spans="1:7" ht="27" customHeight="1" x14ac:dyDescent="0.25">
      <c r="A238" s="54"/>
      <c r="B238" s="50" t="s">
        <v>92</v>
      </c>
      <c r="C238" s="179" t="s">
        <v>53</v>
      </c>
      <c r="D238" s="179"/>
      <c r="E238" s="61">
        <f>E50+E54+E112+E116+E120+E125+E130+E135+E140+E145+E150+E155+E160+E165+E170+E175+E180+E185+E190+E195+E200</f>
        <v>24720735</v>
      </c>
      <c r="F238" s="61"/>
      <c r="G238" s="92">
        <f t="shared" si="5"/>
        <v>24720735</v>
      </c>
    </row>
    <row r="239" spans="1:7" x14ac:dyDescent="0.25">
      <c r="A239" s="54"/>
      <c r="B239" s="50" t="s">
        <v>93</v>
      </c>
      <c r="C239" s="179" t="s">
        <v>201</v>
      </c>
      <c r="D239" s="179"/>
      <c r="E239" s="61">
        <f>E18+E27+E34+E52+E59+E96+E103+E107+E121+E126+E131+E136+E141+E146+E151+E156+E161+E166+E171+E176+E181+E186+E191+E196+E201+E205+E210</f>
        <v>2782054</v>
      </c>
      <c r="F239" s="61">
        <f>F18+F27+F34+F52+F59+F96+F103+F107+F121+F126+F131+F136+F141+F146+F151+F156+F161+F166+F171+F176+F181+F186+F191+F196+F201+F205+F210+F92</f>
        <v>216484</v>
      </c>
      <c r="G239" s="92">
        <f t="shared" si="5"/>
        <v>2998538</v>
      </c>
    </row>
    <row r="240" spans="1:7" ht="24" customHeight="1" x14ac:dyDescent="0.25">
      <c r="A240" s="54"/>
      <c r="B240" s="50" t="s">
        <v>81</v>
      </c>
      <c r="C240" s="193" t="s">
        <v>216</v>
      </c>
      <c r="D240" s="194"/>
      <c r="E240" s="61">
        <f>E17+E33+E42+E51+E58+E26+E212</f>
        <v>643729</v>
      </c>
      <c r="F240" s="61">
        <f>F17+F33+F42+F51+F58+F26+F212</f>
        <v>0</v>
      </c>
      <c r="G240" s="92">
        <f t="shared" si="5"/>
        <v>643729</v>
      </c>
    </row>
    <row r="241" spans="1:7" x14ac:dyDescent="0.25">
      <c r="A241" s="54"/>
      <c r="B241" s="50" t="s">
        <v>84</v>
      </c>
      <c r="C241" s="215" t="s">
        <v>178</v>
      </c>
      <c r="D241" s="215"/>
      <c r="E241" s="58">
        <f>E30</f>
        <v>1227800</v>
      </c>
      <c r="F241" s="61"/>
      <c r="G241" s="92">
        <f t="shared" si="5"/>
        <v>1227800</v>
      </c>
    </row>
    <row r="242" spans="1:7" ht="34.5" customHeight="1" x14ac:dyDescent="0.25">
      <c r="A242" s="54"/>
      <c r="B242" s="50" t="s">
        <v>77</v>
      </c>
      <c r="C242" s="179" t="s">
        <v>179</v>
      </c>
      <c r="D242" s="179"/>
      <c r="E242" s="61">
        <f>E16+E35+E41+E53+E60+E25+E211+E108</f>
        <v>4956093</v>
      </c>
      <c r="F242" s="61">
        <f>F16+F35+F41+F53+F60+F25+F211+F108</f>
        <v>7090</v>
      </c>
      <c r="G242" s="92">
        <f t="shared" si="5"/>
        <v>4963183</v>
      </c>
    </row>
    <row r="243" spans="1:7" ht="39.75" customHeight="1" x14ac:dyDescent="0.25">
      <c r="A243" s="54"/>
      <c r="B243" s="50" t="s">
        <v>79</v>
      </c>
      <c r="C243" s="179" t="s">
        <v>202</v>
      </c>
      <c r="D243" s="179"/>
      <c r="E243" s="61">
        <f>E32</f>
        <v>474000</v>
      </c>
      <c r="F243" s="62"/>
      <c r="G243" s="92">
        <f t="shared" si="5"/>
        <v>474000</v>
      </c>
    </row>
    <row r="244" spans="1:7" ht="30" customHeight="1" x14ac:dyDescent="0.25">
      <c r="A244" s="54"/>
      <c r="B244" s="50" t="s">
        <v>87</v>
      </c>
      <c r="C244" s="179" t="s">
        <v>180</v>
      </c>
      <c r="D244" s="179"/>
      <c r="E244" s="61">
        <f>E38+E65</f>
        <v>149300</v>
      </c>
      <c r="F244" s="59"/>
      <c r="G244" s="92">
        <f t="shared" si="5"/>
        <v>149300</v>
      </c>
    </row>
    <row r="245" spans="1:7" ht="27" customHeight="1" x14ac:dyDescent="0.25">
      <c r="A245" s="54"/>
      <c r="B245" s="50" t="s">
        <v>88</v>
      </c>
      <c r="C245" s="179" t="s">
        <v>181</v>
      </c>
      <c r="D245" s="179"/>
      <c r="E245" s="61">
        <f>E39+E45</f>
        <v>329930</v>
      </c>
      <c r="F245" s="59"/>
      <c r="G245" s="92">
        <f t="shared" si="5"/>
        <v>329930</v>
      </c>
    </row>
    <row r="246" spans="1:7" ht="39.75" customHeight="1" thickBot="1" x14ac:dyDescent="0.3">
      <c r="A246" s="54"/>
      <c r="B246" s="98" t="s">
        <v>85</v>
      </c>
      <c r="C246" s="191" t="s">
        <v>182</v>
      </c>
      <c r="D246" s="191"/>
      <c r="E246" s="168">
        <f>E31</f>
        <v>575000</v>
      </c>
      <c r="F246" s="99"/>
      <c r="G246" s="100">
        <f t="shared" si="5"/>
        <v>575000</v>
      </c>
    </row>
    <row r="247" spans="1:7" ht="15.75" thickBot="1" x14ac:dyDescent="0.3">
      <c r="A247" s="54"/>
      <c r="B247" s="183" t="s">
        <v>151</v>
      </c>
      <c r="C247" s="184"/>
      <c r="D247" s="184"/>
      <c r="E247" s="166">
        <f>SUBTOTAL(9,E234:E246)</f>
        <v>102847492</v>
      </c>
      <c r="F247" s="166">
        <f>SUBTOTAL(9,F234:F246)</f>
        <v>209774</v>
      </c>
      <c r="G247" s="164">
        <f t="shared" si="5"/>
        <v>103057266</v>
      </c>
    </row>
    <row r="248" spans="1:7" x14ac:dyDescent="0.25">
      <c r="F248" s="51"/>
      <c r="G248" s="51"/>
    </row>
    <row r="249" spans="1:7" x14ac:dyDescent="0.25">
      <c r="F249" s="51"/>
      <c r="G249" s="51"/>
    </row>
    <row r="250" spans="1:7" x14ac:dyDescent="0.25">
      <c r="F250" s="51"/>
      <c r="G250" s="51"/>
    </row>
    <row r="251" spans="1:7" x14ac:dyDescent="0.25">
      <c r="F251" s="51"/>
      <c r="G251" s="51"/>
    </row>
  </sheetData>
  <mergeCells count="135">
    <mergeCell ref="A198:A202"/>
    <mergeCell ref="A188:A192"/>
    <mergeCell ref="B198:B201"/>
    <mergeCell ref="C198:C201"/>
    <mergeCell ref="B105:B108"/>
    <mergeCell ref="C105:C108"/>
    <mergeCell ref="A183:A187"/>
    <mergeCell ref="A193:A197"/>
    <mergeCell ref="B183:B186"/>
    <mergeCell ref="C183:C186"/>
    <mergeCell ref="B193:B196"/>
    <mergeCell ref="C193:C196"/>
    <mergeCell ref="B178:B181"/>
    <mergeCell ref="B168:B171"/>
    <mergeCell ref="C168:C171"/>
    <mergeCell ref="B173:B176"/>
    <mergeCell ref="C173:C176"/>
    <mergeCell ref="A123:A127"/>
    <mergeCell ref="B123:B126"/>
    <mergeCell ref="C123:C126"/>
    <mergeCell ref="B148:B151"/>
    <mergeCell ref="C23:C27"/>
    <mergeCell ref="C243:D243"/>
    <mergeCell ref="C229:D229"/>
    <mergeCell ref="C220:D220"/>
    <mergeCell ref="C219:D219"/>
    <mergeCell ref="A217:C217"/>
    <mergeCell ref="A207:A213"/>
    <mergeCell ref="C203:C205"/>
    <mergeCell ref="B203:B205"/>
    <mergeCell ref="A203:A206"/>
    <mergeCell ref="A214:A216"/>
    <mergeCell ref="B214:B215"/>
    <mergeCell ref="C214:C215"/>
    <mergeCell ref="C236:D236"/>
    <mergeCell ref="C238:D238"/>
    <mergeCell ref="C239:D239"/>
    <mergeCell ref="C241:D241"/>
    <mergeCell ref="A163:A167"/>
    <mergeCell ref="B163:B166"/>
    <mergeCell ref="A168:A172"/>
    <mergeCell ref="A173:A177"/>
    <mergeCell ref="A178:A182"/>
    <mergeCell ref="B90:B92"/>
    <mergeCell ref="C90:C92"/>
    <mergeCell ref="A8:G8"/>
    <mergeCell ref="A13:A68"/>
    <mergeCell ref="C20:C21"/>
    <mergeCell ref="C49:C53"/>
    <mergeCell ref="B13:B67"/>
    <mergeCell ref="C64:C66"/>
    <mergeCell ref="C13:C18"/>
    <mergeCell ref="C37:C42"/>
    <mergeCell ref="A101:A104"/>
    <mergeCell ref="B101:B103"/>
    <mergeCell ref="C69:C70"/>
    <mergeCell ref="C56:C60"/>
    <mergeCell ref="C29:C35"/>
    <mergeCell ref="C44:C45"/>
    <mergeCell ref="A84:A85"/>
    <mergeCell ref="A86:A87"/>
    <mergeCell ref="A88:A89"/>
    <mergeCell ref="A90:A93"/>
    <mergeCell ref="A11:A12"/>
    <mergeCell ref="A72:A73"/>
    <mergeCell ref="A74:A75"/>
    <mergeCell ref="A76:A77"/>
    <mergeCell ref="A78:A79"/>
    <mergeCell ref="A80:A81"/>
    <mergeCell ref="A82:A83"/>
    <mergeCell ref="A69:A71"/>
    <mergeCell ref="B69:B70"/>
    <mergeCell ref="C237:D237"/>
    <mergeCell ref="C242:D242"/>
    <mergeCell ref="C240:D240"/>
    <mergeCell ref="A94:A97"/>
    <mergeCell ref="C98:C99"/>
    <mergeCell ref="B98:B99"/>
    <mergeCell ref="A98:A100"/>
    <mergeCell ref="A110:A113"/>
    <mergeCell ref="A118:A122"/>
    <mergeCell ref="A105:A109"/>
    <mergeCell ref="C110:C112"/>
    <mergeCell ref="A114:A117"/>
    <mergeCell ref="B118:B121"/>
    <mergeCell ref="C118:C121"/>
    <mergeCell ref="B110:B112"/>
    <mergeCell ref="B114:B116"/>
    <mergeCell ref="C138:C141"/>
    <mergeCell ref="C133:C136"/>
    <mergeCell ref="A128:A132"/>
    <mergeCell ref="A133:A137"/>
    <mergeCell ref="A138:A142"/>
    <mergeCell ref="B247:D247"/>
    <mergeCell ref="C221:D221"/>
    <mergeCell ref="C222:D222"/>
    <mergeCell ref="C223:D223"/>
    <mergeCell ref="C224:D224"/>
    <mergeCell ref="C225:D225"/>
    <mergeCell ref="C226:D226"/>
    <mergeCell ref="C227:D227"/>
    <mergeCell ref="C228:D228"/>
    <mergeCell ref="C230:D230"/>
    <mergeCell ref="B231:D231"/>
    <mergeCell ref="C233:D233"/>
    <mergeCell ref="C244:D244"/>
    <mergeCell ref="C245:D245"/>
    <mergeCell ref="C246:D246"/>
    <mergeCell ref="C234:D234"/>
    <mergeCell ref="A143:A147"/>
    <mergeCell ref="C163:C166"/>
    <mergeCell ref="C178:C181"/>
    <mergeCell ref="A158:A162"/>
    <mergeCell ref="A153:A157"/>
    <mergeCell ref="B153:B156"/>
    <mergeCell ref="C153:C156"/>
    <mergeCell ref="B133:B136"/>
    <mergeCell ref="B188:B191"/>
    <mergeCell ref="C188:C191"/>
    <mergeCell ref="A148:A152"/>
    <mergeCell ref="B143:B146"/>
    <mergeCell ref="C143:C146"/>
    <mergeCell ref="B207:B212"/>
    <mergeCell ref="C207:C212"/>
    <mergeCell ref="C235:D235"/>
    <mergeCell ref="B94:B96"/>
    <mergeCell ref="C94:C96"/>
    <mergeCell ref="C114:C116"/>
    <mergeCell ref="B128:B131"/>
    <mergeCell ref="C128:C131"/>
    <mergeCell ref="B138:B141"/>
    <mergeCell ref="C101:C103"/>
    <mergeCell ref="B158:B161"/>
    <mergeCell ref="C158:C161"/>
    <mergeCell ref="C148:C151"/>
  </mergeCells>
  <conditionalFormatting sqref="E9 F230">
    <cfRule type="cellIs" dxfId="17" priority="38" stopIfTrue="1" operator="equal">
      <formula>0</formula>
    </cfRule>
  </conditionalFormatting>
  <conditionalFormatting sqref="E11 E13:E18 E72 E74 E76 E78 E80 E82 E84 E86 E88 E90:E92 E94 E98 E101 E103 E105:E108 E110 E112 E128 E130:E131 E133:E134 E138 E140:E141 E143 E145:E146 E148 E150:E151 E153 E155:E156 E158 E160:E161 E163:E164 E168:E171 E173 E175:E176 E178 E180:E181 E183:E184 E193:E196 E198:E199 E203:E205 E207:E212 F234:F242 E234:E246">
    <cfRule type="cellIs" dxfId="16" priority="12" stopIfTrue="1" operator="equal">
      <formula>0</formula>
    </cfRule>
  </conditionalFormatting>
  <conditionalFormatting sqref="E11:E95 E97:E217 E9 F22 F28 F30 F38 F43 F47 F79 F93 F97 F104 F109 F132">
    <cfRule type="cellIs" dxfId="15" priority="25" stopIfTrue="1" operator="equal">
      <formula>0</formula>
    </cfRule>
  </conditionalFormatting>
  <conditionalFormatting sqref="E44">
    <cfRule type="cellIs" dxfId="14" priority="10" stopIfTrue="1" operator="equal">
      <formula>0</formula>
    </cfRule>
  </conditionalFormatting>
  <conditionalFormatting sqref="E60">
    <cfRule type="cellIs" dxfId="13" priority="9" stopIfTrue="1" operator="equal">
      <formula>0</formula>
    </cfRule>
  </conditionalFormatting>
  <conditionalFormatting sqref="E69:E70">
    <cfRule type="cellIs" dxfId="12" priority="2" stopIfTrue="1" operator="equal">
      <formula>0</formula>
    </cfRule>
  </conditionalFormatting>
  <conditionalFormatting sqref="E114 E116">
    <cfRule type="cellIs" dxfId="11" priority="6" stopIfTrue="1" operator="equal">
      <formula>0</formula>
    </cfRule>
  </conditionalFormatting>
  <conditionalFormatting sqref="E118 E120:E121">
    <cfRule type="cellIs" dxfId="10" priority="5" stopIfTrue="1" operator="equal">
      <formula>0</formula>
    </cfRule>
  </conditionalFormatting>
  <conditionalFormatting sqref="E123 E125:E126">
    <cfRule type="cellIs" dxfId="9" priority="4" stopIfTrue="1" operator="equal">
      <formula>0</formula>
    </cfRule>
  </conditionalFormatting>
  <conditionalFormatting sqref="E188:E189">
    <cfRule type="cellIs" dxfId="8" priority="3" stopIfTrue="1" operator="equal">
      <formula>0</formula>
    </cfRule>
  </conditionalFormatting>
  <conditionalFormatting sqref="E217:F217">
    <cfRule type="cellIs" dxfId="7" priority="11" stopIfTrue="1" operator="equal">
      <formula>0</formula>
    </cfRule>
  </conditionalFormatting>
  <conditionalFormatting sqref="E247:F247">
    <cfRule type="cellIs" dxfId="6" priority="7" stopIfTrue="1" operator="equal">
      <formula>0</formula>
    </cfRule>
  </conditionalFormatting>
  <conditionalFormatting sqref="F19:F20 F35:F36 F55 F60:F61 F67:F68 F186:F187 F192 F216:F217">
    <cfRule type="cellIs" dxfId="5" priority="1" stopIfTrue="1" operator="equal">
      <formula>0</formula>
    </cfRule>
  </conditionalFormatting>
  <conditionalFormatting sqref="F213 F205">
    <cfRule type="cellIs" dxfId="4" priority="37" stopIfTrue="1" operator="equal">
      <formula>0</formula>
    </cfRule>
  </conditionalFormatting>
  <conditionalFormatting sqref="F213">
    <cfRule type="cellIs" dxfId="3" priority="36" stopIfTrue="1" operator="equal">
      <formula>0</formula>
    </cfRule>
  </conditionalFormatting>
  <conditionalFormatting sqref="F218">
    <cfRule type="cellIs" dxfId="2" priority="33" stopIfTrue="1" operator="equal">
      <formula>0</formula>
    </cfRule>
  </conditionalFormatting>
  <conditionalFormatting sqref="F220:F224 E220:E231 F226:F228 F231">
    <cfRule type="cellIs" dxfId="1" priority="8" stopIfTrue="1" operator="equal">
      <formula>0</formula>
    </cfRule>
  </conditionalFormatting>
  <conditionalFormatting sqref="F243">
    <cfRule type="cellIs" dxfId="0" priority="32" stopIfTrue="1" operator="equal">
      <formula>0</formula>
    </cfRule>
  </conditionalFormatting>
  <pageMargins left="0.7" right="0.7" top="0.75" bottom="0.75" header="0.3" footer="0.3"/>
  <pageSetup paperSize="9" scale="98" orientation="portrait" r:id="rId1"/>
  <rowBreaks count="1" manualBreakCount="1">
    <brk id="164" max="6" man="1"/>
  </rowBreaks>
  <ignoredErrors>
    <ignoredError sqref="E24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1 priedas</vt:lpstr>
      <vt:lpstr>3 priedas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Samalienė</dc:creator>
  <cp:lastModifiedBy>Edita Samalienė</cp:lastModifiedBy>
  <cp:lastPrinted>2026-06-16T05:04:21Z</cp:lastPrinted>
  <dcterms:created xsi:type="dcterms:W3CDTF">2025-03-26T13:26:14Z</dcterms:created>
  <dcterms:modified xsi:type="dcterms:W3CDTF">2026-06-16T07:19:24Z</dcterms:modified>
</cp:coreProperties>
</file>