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" i="8" l="1"/>
  <c r="E44" i="8" l="1"/>
  <c r="E229" i="8"/>
  <c r="E46" i="8"/>
  <c r="E30" i="8"/>
  <c r="E114" i="8"/>
  <c r="E174" i="8"/>
  <c r="E169" i="8"/>
  <c r="E164" i="8"/>
  <c r="E159" i="8"/>
  <c r="E154" i="8"/>
  <c r="E149" i="8"/>
  <c r="E144" i="8"/>
  <c r="E139" i="8"/>
  <c r="E134" i="8"/>
  <c r="E129" i="8"/>
  <c r="E124" i="8"/>
  <c r="E119" i="8"/>
  <c r="E110" i="8"/>
  <c r="E33" i="8"/>
  <c r="E12" i="8"/>
  <c r="E48" i="8" l="1"/>
  <c r="E43" i="8"/>
  <c r="E63" i="8"/>
  <c r="E35" i="8"/>
  <c r="E234" i="8" s="1"/>
  <c r="E13" i="8" l="1"/>
  <c r="E226" i="8" l="1"/>
  <c r="E235" i="8" l="1"/>
  <c r="E232" i="8"/>
  <c r="E230" i="8"/>
  <c r="E203" i="8"/>
  <c r="E225" i="8" s="1"/>
  <c r="E204" i="8"/>
  <c r="E199" i="8"/>
  <c r="E228" i="8" s="1"/>
  <c r="E40" i="8"/>
  <c r="E49" i="8" l="1"/>
  <c r="E50" i="8"/>
  <c r="E34" i="8"/>
  <c r="E233" i="8" s="1"/>
  <c r="E18" i="8"/>
  <c r="E94" i="8"/>
  <c r="E198" i="8"/>
  <c r="E202" i="8"/>
  <c r="E98" i="8"/>
  <c r="E88" i="8"/>
  <c r="E178" i="8"/>
  <c r="E183" i="8"/>
  <c r="E193" i="8"/>
  <c r="E188" i="8"/>
  <c r="E168" i="8"/>
  <c r="E163" i="8"/>
  <c r="E158" i="8"/>
  <c r="E173" i="8"/>
  <c r="E153" i="8"/>
  <c r="E148" i="8"/>
  <c r="E138" i="8"/>
  <c r="E143" i="8"/>
  <c r="E128" i="8"/>
  <c r="E133" i="8"/>
  <c r="E123" i="8"/>
  <c r="E113" i="8"/>
  <c r="E109" i="8"/>
  <c r="E118" i="8"/>
  <c r="E104" i="8"/>
  <c r="E179" i="8"/>
  <c r="E184" i="8"/>
  <c r="E194" i="8"/>
  <c r="E189" i="8"/>
  <c r="E182" i="8"/>
  <c r="E177" i="8"/>
  <c r="E192" i="8"/>
  <c r="E187" i="8"/>
  <c r="E167" i="8"/>
  <c r="E162" i="8"/>
  <c r="E152" i="8"/>
  <c r="E172" i="8"/>
  <c r="E157" i="8"/>
  <c r="E147" i="8"/>
  <c r="E137" i="8"/>
  <c r="E142" i="8"/>
  <c r="E132" i="8"/>
  <c r="E112" i="8"/>
  <c r="E108" i="8"/>
  <c r="E127" i="8"/>
  <c r="E122" i="8"/>
  <c r="E117" i="8"/>
  <c r="E103" i="8"/>
  <c r="E100" i="8"/>
  <c r="E97" i="8"/>
  <c r="E93" i="8"/>
  <c r="E90" i="8"/>
  <c r="E87" i="8"/>
  <c r="E166" i="8" l="1"/>
  <c r="E227" i="8"/>
  <c r="E171" i="8"/>
  <c r="E116" i="8"/>
  <c r="E181" i="8"/>
  <c r="E196" i="8"/>
  <c r="E186" i="8"/>
  <c r="E191" i="8"/>
  <c r="E161" i="8"/>
  <c r="E176" i="8"/>
  <c r="E156" i="8"/>
  <c r="E151" i="8"/>
  <c r="E141" i="8"/>
  <c r="E146" i="8"/>
  <c r="E131" i="8"/>
  <c r="E136" i="8"/>
  <c r="E126" i="8"/>
  <c r="E121" i="8"/>
  <c r="E224" i="8"/>
  <c r="E20" i="8"/>
  <c r="E201" i="8" l="1"/>
  <c r="E223" i="8" l="1"/>
  <c r="E65" i="8"/>
  <c r="E111" i="8" l="1"/>
  <c r="E69" i="8"/>
  <c r="E61" i="8"/>
  <c r="E219" i="8" s="1"/>
  <c r="E57" i="8"/>
  <c r="E218" i="8" s="1"/>
  <c r="E236" i="8" l="1"/>
  <c r="E55" i="8"/>
  <c r="E42" i="8"/>
  <c r="E37" i="8"/>
  <c r="E213" i="8" s="1"/>
  <c r="E32" i="8"/>
  <c r="E212" i="8" s="1"/>
  <c r="E25" i="8"/>
  <c r="E211" i="8" s="1"/>
  <c r="E16" i="8"/>
  <c r="E11" i="8"/>
  <c r="E62" i="8" l="1"/>
  <c r="E209" i="8"/>
  <c r="E92" i="8"/>
  <c r="E75" i="8"/>
  <c r="E89" i="8"/>
  <c r="E205" i="8"/>
  <c r="E71" i="8"/>
  <c r="E99" i="8"/>
  <c r="E107" i="8"/>
  <c r="E216" i="8" s="1"/>
  <c r="E77" i="8"/>
  <c r="E86" i="8"/>
  <c r="E214" i="8" s="1"/>
  <c r="E79" i="8"/>
  <c r="E102" i="8"/>
  <c r="E67" i="8"/>
  <c r="E81" i="8"/>
  <c r="E200" i="8"/>
  <c r="E96" i="8"/>
  <c r="E73" i="8"/>
  <c r="E83" i="8"/>
  <c r="E206" i="8" l="1"/>
  <c r="E217" i="8"/>
  <c r="E210" i="8"/>
  <c r="E215" i="8"/>
  <c r="E220" i="8" l="1"/>
</calcChain>
</file>

<file path=xl/sharedStrings.xml><?xml version="1.0" encoding="utf-8"?>
<sst xmlns="http://schemas.openxmlformats.org/spreadsheetml/2006/main" count="388" uniqueCount="163">
  <si>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</si>
  <si>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</si>
  <si>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</si>
  <si>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</si>
  <si>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</si>
  <si>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</si>
  <si>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</si>
  <si>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</si>
  <si>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</si>
  <si>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</si>
  <si>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</si>
  <si>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</si>
  <si>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</si>
  <si>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</si>
  <si>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</si>
  <si>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</si>
  <si>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</si>
  <si>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</si>
  <si>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</si>
  <si>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</si>
  <si>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</si>
  <si>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</si>
  <si>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</si>
  <si>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</si>
  <si>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</si>
  <si>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</si>
  <si>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</si>
  <si>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</si>
  <si>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</si>
  <si>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</si>
  <si>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</si>
  <si>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</si>
  <si>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</si>
  <si>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</si>
  <si>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</si>
  <si>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</si>
  <si>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</si>
  <si>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</si>
  <si>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</si>
  <si>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</si>
  <si>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</si>
  <si>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</si>
  <si>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</si>
  <si>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</si>
  <si>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</si>
  <si>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</si>
  <si>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</si>
  <si>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</si>
  <si>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</si>
  <si>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</si>
  <si>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</si>
  <si>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</si>
  <si>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</si>
  <si>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</si>
  <si>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</si>
  <si>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</si>
  <si>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</si>
  <si>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</si>
  <si>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</si>
  <si>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</si>
  <si>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</si>
  <si>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</si>
  <si>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</si>
  <si>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</si>
  <si>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</si>
  <si>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</si>
  <si>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</si>
  <si>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</si>
  <si>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</si>
  <si>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</si>
  <si>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</si>
  <si>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</si>
  <si>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</si>
  <si>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</si>
  <si>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</si>
  <si>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</si>
  <si>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</si>
  <si>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</si>
  <si>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</si>
  <si>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</si>
  <si>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</si>
  <si>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</si>
  <si>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</si>
  <si>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</si>
  <si>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</si>
  <si>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</si>
  <si>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</si>
  <si>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</si>
  <si>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</si>
  <si>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</si>
  <si>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</si>
  <si>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</si>
  <si>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</si>
  <si>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</si>
  <si>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</si>
  <si>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</si>
  <si>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</si>
  <si>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</si>
  <si>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</si>
  <si>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</si>
  <si>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</si>
  <si>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</si>
  <si>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</si>
  <si>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</si>
  <si>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</si>
  <si>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</si>
  <si>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</si>
  <si>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</si>
  <si>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</si>
  <si>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</si>
  <si>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</si>
  <si>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</si>
  <si>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</si>
  <si>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</si>
  <si>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</si>
  <si>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</si>
  <si>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</si>
  <si>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</si>
  <si>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</si>
  <si>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</si>
  <si>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</si>
  <si>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</si>
  <si>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</si>
  <si>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</si>
  <si>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</si>
  <si>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</si>
  <si>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</si>
  <si>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</si>
  <si>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</si>
  <si>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</si>
  <si>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</si>
  <si>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</si>
  <si>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</si>
  <si>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</si>
  <si>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</si>
  <si>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</si>
  <si>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</si>
  <si>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</si>
  <si>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</si>
  <si>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</si>
  <si>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</si>
  <si>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</si>
  <si>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</si>
  <si>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</si>
  <si>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</si>
  <si>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</si>
  <si>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</si>
  <si>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</si>
  <si>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</si>
  <si>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</si>
  <si>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</si>
  <si>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</si>
  <si>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</si>
  <si>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</si>
  <si>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</si>
  <si>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</si>
  <si>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</si>
  <si>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</si>
  <si>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</si>
  <si>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</si>
  <si>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</si>
  <si>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</si>
  <si>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2025 m. birželio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</si>
</sst>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6"/>
  <sheetViews>
    <sheetView tabSelected="1" topLeftCell="A208" zoomScale="130" zoomScaleNormal="130" workbookViewId="0">
      <selection activeCell="K224" sqref="K224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24.28515625" style="2" customWidth="1"/>
    <col min="6" max="16384" width="8.85546875" style="2"/>
  </cols>
  <sheetData>
    <row r="1" spans="1:5" x14ac:dyDescent="0.2">
      <c r="B1" s="1"/>
      <c r="C1" s="1"/>
      <c r="D1" s="67" t="s">
        <v>160</v>
      </c>
      <c r="E1" s="67"/>
    </row>
    <row r="2" spans="1:5" x14ac:dyDescent="0.2">
      <c r="B2" s="1"/>
      <c r="C2" s="1"/>
      <c r="D2" s="67"/>
      <c r="E2" s="67"/>
    </row>
    <row r="3" spans="1:5" ht="24.6" customHeight="1" x14ac:dyDescent="0.2">
      <c r="B3" s="1"/>
      <c r="C3" s="1"/>
      <c r="D3" s="67"/>
      <c r="E3" s="67"/>
    </row>
    <row r="4" spans="1:5" ht="12.75" customHeight="1" x14ac:dyDescent="0.2">
      <c r="B4" s="1"/>
      <c r="C4" s="1"/>
      <c r="D4" s="67" t="s">
        <v>161</v>
      </c>
      <c r="E4" s="67"/>
    </row>
    <row r="5" spans="1:5" ht="23.25" customHeight="1" x14ac:dyDescent="0.2">
      <c r="B5" s="1"/>
      <c r="C5" s="1"/>
      <c r="D5" s="67" t="s">
        <v>162</v>
      </c>
      <c r="E5" s="67"/>
    </row>
    <row r="6" spans="1:5" x14ac:dyDescent="0.2">
      <c r="B6" s="1"/>
      <c r="C6" s="1"/>
      <c r="D6" s="64"/>
      <c r="E6" s="64"/>
    </row>
    <row r="7" spans="1:5" ht="15.75" x14ac:dyDescent="0.2">
      <c r="A7" s="74" t="s">
        <v>64</v>
      </c>
      <c r="B7" s="74"/>
      <c r="C7" s="74"/>
      <c r="D7" s="74"/>
      <c r="E7" s="74"/>
    </row>
    <row r="8" spans="1:5" ht="12.75" thickBot="1" x14ac:dyDescent="0.25">
      <c r="B8" s="3"/>
      <c r="C8" s="3"/>
      <c r="D8" s="5"/>
      <c r="E8" s="1"/>
    </row>
    <row r="9" spans="1:5" ht="24.75" thickBot="1" x14ac:dyDescent="0.25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">
      <c r="A10" s="75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" customHeight="1" thickBot="1" x14ac:dyDescent="0.25">
      <c r="A11" s="77"/>
      <c r="B11" s="46" t="s">
        <v>20</v>
      </c>
      <c r="C11" s="47"/>
      <c r="D11" s="48"/>
      <c r="E11" s="49">
        <f>SUBTOTAL(9,E10:E10)</f>
        <v>111110</v>
      </c>
    </row>
    <row r="12" spans="1:5" x14ac:dyDescent="0.2">
      <c r="A12" s="98" t="s">
        <v>22</v>
      </c>
      <c r="B12" s="73" t="s">
        <v>29</v>
      </c>
      <c r="C12" s="73" t="s">
        <v>30</v>
      </c>
      <c r="D12" s="56" t="s">
        <v>1</v>
      </c>
      <c r="E12" s="57">
        <f>3719140+258740+327464+1957000+874300</f>
        <v>7136644</v>
      </c>
    </row>
    <row r="13" spans="1:5" ht="12" customHeight="1" x14ac:dyDescent="0.2">
      <c r="A13" s="99"/>
      <c r="B13" s="72"/>
      <c r="C13" s="72"/>
      <c r="D13" s="52" t="s">
        <v>4</v>
      </c>
      <c r="E13" s="58">
        <f>19200+12500-1700</f>
        <v>30000</v>
      </c>
    </row>
    <row r="14" spans="1:5" ht="12" customHeight="1" x14ac:dyDescent="0.2">
      <c r="A14" s="99"/>
      <c r="B14" s="72"/>
      <c r="C14" s="72"/>
      <c r="D14" s="52" t="s">
        <v>2</v>
      </c>
      <c r="E14" s="58">
        <v>256159</v>
      </c>
    </row>
    <row r="15" spans="1:5" ht="12" customHeight="1" x14ac:dyDescent="0.2">
      <c r="A15" s="99"/>
      <c r="B15" s="72"/>
      <c r="C15" s="72"/>
      <c r="D15" s="52" t="s">
        <v>43</v>
      </c>
      <c r="E15" s="58">
        <v>62920</v>
      </c>
    </row>
    <row r="16" spans="1:5" ht="12" customHeight="1" x14ac:dyDescent="0.2">
      <c r="A16" s="99"/>
      <c r="B16" s="72"/>
      <c r="C16" s="53" t="s">
        <v>144</v>
      </c>
      <c r="D16" s="54"/>
      <c r="E16" s="59">
        <f>SUBTOTAL(9,E12:E15)</f>
        <v>7485723</v>
      </c>
    </row>
    <row r="17" spans="1:5" ht="12" customHeight="1" x14ac:dyDescent="0.2">
      <c r="A17" s="99"/>
      <c r="B17" s="72"/>
      <c r="C17" s="68" t="s">
        <v>31</v>
      </c>
      <c r="D17" s="52" t="s">
        <v>1</v>
      </c>
      <c r="E17" s="58">
        <v>1138000</v>
      </c>
    </row>
    <row r="18" spans="1:5" ht="12" customHeight="1" x14ac:dyDescent="0.2">
      <c r="A18" s="99"/>
      <c r="B18" s="72"/>
      <c r="C18" s="68"/>
      <c r="D18" s="52" t="s">
        <v>4</v>
      </c>
      <c r="E18" s="58">
        <f>49050+72000</f>
        <v>121050</v>
      </c>
    </row>
    <row r="19" spans="1:5" ht="12" customHeight="1" x14ac:dyDescent="0.2">
      <c r="A19" s="99"/>
      <c r="B19" s="72"/>
      <c r="C19" s="68"/>
      <c r="D19" s="52" t="s">
        <v>101</v>
      </c>
      <c r="E19" s="58">
        <v>300000</v>
      </c>
    </row>
    <row r="20" spans="1:5" ht="12" customHeight="1" x14ac:dyDescent="0.2">
      <c r="A20" s="99"/>
      <c r="B20" s="72"/>
      <c r="C20" s="53" t="s">
        <v>145</v>
      </c>
      <c r="D20" s="54"/>
      <c r="E20" s="59">
        <f>SUM(E17:E19)</f>
        <v>1559050</v>
      </c>
    </row>
    <row r="21" spans="1:5" ht="12" customHeight="1" x14ac:dyDescent="0.2">
      <c r="A21" s="99"/>
      <c r="B21" s="72"/>
      <c r="C21" s="68" t="s">
        <v>32</v>
      </c>
      <c r="D21" s="52" t="s">
        <v>1</v>
      </c>
      <c r="E21" s="58">
        <v>226972</v>
      </c>
    </row>
    <row r="22" spans="1:5" ht="12" customHeight="1" x14ac:dyDescent="0.2">
      <c r="A22" s="99"/>
      <c r="B22" s="72"/>
      <c r="C22" s="72"/>
      <c r="D22" s="52" t="s">
        <v>2</v>
      </c>
      <c r="E22" s="58">
        <v>416800</v>
      </c>
    </row>
    <row r="23" spans="1:5" ht="12" customHeight="1" x14ac:dyDescent="0.2">
      <c r="A23" s="99"/>
      <c r="B23" s="72"/>
      <c r="C23" s="72"/>
      <c r="D23" s="52" t="s">
        <v>105</v>
      </c>
      <c r="E23" s="58">
        <v>21880</v>
      </c>
    </row>
    <row r="24" spans="1:5" ht="12" customHeight="1" x14ac:dyDescent="0.2">
      <c r="A24" s="99"/>
      <c r="B24" s="72"/>
      <c r="C24" s="72"/>
      <c r="D24" s="52" t="s">
        <v>33</v>
      </c>
      <c r="E24" s="58">
        <v>126830</v>
      </c>
    </row>
    <row r="25" spans="1:5" ht="12" customHeight="1" x14ac:dyDescent="0.2">
      <c r="A25" s="99"/>
      <c r="B25" s="72"/>
      <c r="C25" s="53" t="s">
        <v>146</v>
      </c>
      <c r="D25" s="54"/>
      <c r="E25" s="59">
        <f>SUBTOTAL(9,E21:E24)</f>
        <v>792482</v>
      </c>
    </row>
    <row r="26" spans="1:5" ht="12" customHeight="1" x14ac:dyDescent="0.2">
      <c r="A26" s="99"/>
      <c r="B26" s="72"/>
      <c r="C26" s="68" t="s">
        <v>34</v>
      </c>
      <c r="D26" s="52" t="s">
        <v>1</v>
      </c>
      <c r="E26" s="58">
        <v>4902375</v>
      </c>
    </row>
    <row r="27" spans="1:5" ht="12" customHeight="1" x14ac:dyDescent="0.2">
      <c r="A27" s="99"/>
      <c r="B27" s="72"/>
      <c r="C27" s="72"/>
      <c r="D27" s="52" t="s">
        <v>35</v>
      </c>
      <c r="E27" s="58">
        <v>1760000</v>
      </c>
    </row>
    <row r="28" spans="1:5" ht="12" customHeight="1" x14ac:dyDescent="0.2">
      <c r="A28" s="99"/>
      <c r="B28" s="72"/>
      <c r="C28" s="72"/>
      <c r="D28" s="52" t="s">
        <v>103</v>
      </c>
      <c r="E28" s="58">
        <v>430000</v>
      </c>
    </row>
    <row r="29" spans="1:5" ht="12" customHeight="1" x14ac:dyDescent="0.2">
      <c r="A29" s="99"/>
      <c r="B29" s="72"/>
      <c r="C29" s="72"/>
      <c r="D29" s="52" t="s">
        <v>101</v>
      </c>
      <c r="E29" s="58">
        <v>175000</v>
      </c>
    </row>
    <row r="30" spans="1:5" ht="12" customHeight="1" x14ac:dyDescent="0.2">
      <c r="A30" s="99"/>
      <c r="B30" s="72"/>
      <c r="C30" s="72"/>
      <c r="D30" s="52" t="s">
        <v>105</v>
      </c>
      <c r="E30" s="58">
        <f>449891+65325</f>
        <v>515216</v>
      </c>
    </row>
    <row r="31" spans="1:5" ht="12" customHeight="1" x14ac:dyDescent="0.2">
      <c r="A31" s="99"/>
      <c r="B31" s="72"/>
      <c r="C31" s="72"/>
      <c r="D31" s="52" t="s">
        <v>33</v>
      </c>
      <c r="E31" s="58">
        <v>2139565</v>
      </c>
    </row>
    <row r="32" spans="1:5" ht="12" customHeight="1" x14ac:dyDescent="0.2">
      <c r="A32" s="99"/>
      <c r="B32" s="72"/>
      <c r="C32" s="53" t="s">
        <v>147</v>
      </c>
      <c r="D32" s="54"/>
      <c r="E32" s="59">
        <f>SUBTOTAL(9,E26:E31)</f>
        <v>9922156</v>
      </c>
    </row>
    <row r="33" spans="1:5" ht="12" customHeight="1" x14ac:dyDescent="0.2">
      <c r="A33" s="99"/>
      <c r="B33" s="72"/>
      <c r="C33" s="68" t="s">
        <v>37</v>
      </c>
      <c r="D33" s="52" t="s">
        <v>1</v>
      </c>
      <c r="E33" s="58">
        <f>5998560+924740</f>
        <v>6923300</v>
      </c>
    </row>
    <row r="34" spans="1:5" ht="12" customHeight="1" x14ac:dyDescent="0.2">
      <c r="A34" s="99"/>
      <c r="B34" s="72"/>
      <c r="C34" s="68"/>
      <c r="D34" s="52" t="s">
        <v>38</v>
      </c>
      <c r="E34" s="58">
        <f>139000+126000</f>
        <v>265000</v>
      </c>
    </row>
    <row r="35" spans="1:5" ht="12" customHeight="1" x14ac:dyDescent="0.2">
      <c r="A35" s="99"/>
      <c r="B35" s="72"/>
      <c r="C35" s="68"/>
      <c r="D35" s="52" t="s">
        <v>39</v>
      </c>
      <c r="E35" s="58">
        <f>81678+160227</f>
        <v>241905</v>
      </c>
    </row>
    <row r="36" spans="1:5" ht="12" customHeight="1" x14ac:dyDescent="0.2">
      <c r="A36" s="99"/>
      <c r="B36" s="72"/>
      <c r="C36" s="68"/>
      <c r="D36" s="52" t="s">
        <v>158</v>
      </c>
      <c r="E36" s="58">
        <v>2390900</v>
      </c>
    </row>
    <row r="37" spans="1:5" ht="12" customHeight="1" x14ac:dyDescent="0.2">
      <c r="A37" s="99"/>
      <c r="B37" s="72"/>
      <c r="C37" s="53" t="s">
        <v>148</v>
      </c>
      <c r="D37" s="54"/>
      <c r="E37" s="59">
        <f>SUBTOTAL(9,E33:E36)</f>
        <v>9821105</v>
      </c>
    </row>
    <row r="38" spans="1:5" ht="12" customHeight="1" x14ac:dyDescent="0.2">
      <c r="A38" s="99"/>
      <c r="B38" s="72"/>
      <c r="C38" s="68" t="s">
        <v>40</v>
      </c>
      <c r="D38" s="52" t="s">
        <v>1</v>
      </c>
      <c r="E38" s="58">
        <v>247320</v>
      </c>
    </row>
    <row r="39" spans="1:5" ht="12" customHeight="1" x14ac:dyDescent="0.2">
      <c r="A39" s="99"/>
      <c r="B39" s="72"/>
      <c r="C39" s="68"/>
      <c r="D39" s="52" t="s">
        <v>39</v>
      </c>
      <c r="E39" s="58">
        <v>32680</v>
      </c>
    </row>
    <row r="40" spans="1:5" ht="12" customHeight="1" x14ac:dyDescent="0.2">
      <c r="A40" s="99"/>
      <c r="B40" s="72"/>
      <c r="C40" s="53" t="s">
        <v>149</v>
      </c>
      <c r="D40" s="54"/>
      <c r="E40" s="59">
        <f>SUBTOTAL(9,E38:E39)</f>
        <v>280000</v>
      </c>
    </row>
    <row r="41" spans="1:5" ht="12" customHeight="1" x14ac:dyDescent="0.2">
      <c r="A41" s="99"/>
      <c r="B41" s="72"/>
      <c r="C41" s="51" t="s">
        <v>41</v>
      </c>
      <c r="D41" s="52" t="s">
        <v>1</v>
      </c>
      <c r="E41" s="58">
        <v>429000</v>
      </c>
    </row>
    <row r="42" spans="1:5" ht="12" customHeight="1" x14ac:dyDescent="0.2">
      <c r="A42" s="99"/>
      <c r="B42" s="72"/>
      <c r="C42" s="53" t="s">
        <v>150</v>
      </c>
      <c r="D42" s="54"/>
      <c r="E42" s="59">
        <f>SUBTOTAL(9,E41:E41)</f>
        <v>429000</v>
      </c>
    </row>
    <row r="43" spans="1:5" ht="12" customHeight="1" x14ac:dyDescent="0.2">
      <c r="A43" s="99"/>
      <c r="B43" s="72"/>
      <c r="C43" s="68" t="s">
        <v>42</v>
      </c>
      <c r="D43" s="52" t="s">
        <v>1</v>
      </c>
      <c r="E43" s="58">
        <f>150000+1214600+20000</f>
        <v>1384600</v>
      </c>
    </row>
    <row r="44" spans="1:5" ht="12" customHeight="1" x14ac:dyDescent="0.2">
      <c r="A44" s="99"/>
      <c r="B44" s="72"/>
      <c r="C44" s="72"/>
      <c r="D44" s="52" t="s">
        <v>3</v>
      </c>
      <c r="E44" s="58">
        <f>382440+100000+192</f>
        <v>482632</v>
      </c>
    </row>
    <row r="45" spans="1:5" ht="12" customHeight="1" x14ac:dyDescent="0.2">
      <c r="A45" s="99"/>
      <c r="B45" s="72"/>
      <c r="C45" s="72"/>
      <c r="D45" s="52" t="s">
        <v>105</v>
      </c>
      <c r="E45" s="58">
        <v>393463</v>
      </c>
    </row>
    <row r="46" spans="1:5" ht="12" customHeight="1" x14ac:dyDescent="0.2">
      <c r="A46" s="99"/>
      <c r="B46" s="72"/>
      <c r="C46" s="72"/>
      <c r="D46" s="52" t="s">
        <v>36</v>
      </c>
      <c r="E46" s="58">
        <f>910062-119400-359463</f>
        <v>431199</v>
      </c>
    </row>
    <row r="47" spans="1:5" ht="12" customHeight="1" x14ac:dyDescent="0.2">
      <c r="A47" s="99"/>
      <c r="B47" s="72"/>
      <c r="C47" s="72"/>
      <c r="D47" s="52" t="s">
        <v>43</v>
      </c>
      <c r="E47" s="58">
        <v>696818</v>
      </c>
    </row>
    <row r="48" spans="1:5" ht="12" customHeight="1" x14ac:dyDescent="0.2">
      <c r="A48" s="99"/>
      <c r="B48" s="72"/>
      <c r="C48" s="51" t="s">
        <v>104</v>
      </c>
      <c r="D48" s="52" t="s">
        <v>3</v>
      </c>
      <c r="E48" s="36">
        <f>3029177.6</f>
        <v>3029177.6</v>
      </c>
    </row>
    <row r="49" spans="1:5" ht="12" customHeight="1" x14ac:dyDescent="0.2">
      <c r="A49" s="99"/>
      <c r="B49" s="72"/>
      <c r="C49" s="53" t="s">
        <v>151</v>
      </c>
      <c r="D49" s="54"/>
      <c r="E49" s="59">
        <f>SUBTOTAL(9,E43:E48)</f>
        <v>6417889.5999999996</v>
      </c>
    </row>
    <row r="50" spans="1:5" ht="12" customHeight="1" x14ac:dyDescent="0.2">
      <c r="A50" s="99"/>
      <c r="B50" s="72"/>
      <c r="C50" s="68" t="s">
        <v>44</v>
      </c>
      <c r="D50" s="52" t="s">
        <v>1</v>
      </c>
      <c r="E50" s="58">
        <f>274344+3366000</f>
        <v>3640344</v>
      </c>
    </row>
    <row r="51" spans="1:5" ht="12" customHeight="1" x14ac:dyDescent="0.2">
      <c r="A51" s="99"/>
      <c r="B51" s="72"/>
      <c r="C51" s="72"/>
      <c r="D51" s="52" t="s">
        <v>2</v>
      </c>
      <c r="E51" s="58">
        <v>2440400</v>
      </c>
    </row>
    <row r="52" spans="1:5" ht="12" customHeight="1" x14ac:dyDescent="0.2">
      <c r="A52" s="99"/>
      <c r="B52" s="72"/>
      <c r="C52" s="72"/>
      <c r="D52" s="52" t="s">
        <v>105</v>
      </c>
      <c r="E52" s="58">
        <v>6150</v>
      </c>
    </row>
    <row r="53" spans="1:5" ht="12" customHeight="1" x14ac:dyDescent="0.2">
      <c r="A53" s="99"/>
      <c r="B53" s="72"/>
      <c r="C53" s="72"/>
      <c r="D53" s="52" t="s">
        <v>36</v>
      </c>
      <c r="E53" s="58">
        <v>335825</v>
      </c>
    </row>
    <row r="54" spans="1:5" ht="12" customHeight="1" x14ac:dyDescent="0.2">
      <c r="A54" s="99"/>
      <c r="B54" s="72"/>
      <c r="C54" s="72"/>
      <c r="D54" s="52" t="s">
        <v>43</v>
      </c>
      <c r="E54" s="58">
        <v>40170</v>
      </c>
    </row>
    <row r="55" spans="1:5" ht="12" customHeight="1" x14ac:dyDescent="0.2">
      <c r="A55" s="99"/>
      <c r="B55" s="72"/>
      <c r="C55" s="53" t="s">
        <v>152</v>
      </c>
      <c r="D55" s="54"/>
      <c r="E55" s="59">
        <f>SUBTOTAL(9,E50:E54)</f>
        <v>6462889</v>
      </c>
    </row>
    <row r="56" spans="1:5" ht="12" customHeight="1" x14ac:dyDescent="0.2">
      <c r="A56" s="99"/>
      <c r="B56" s="72"/>
      <c r="C56" s="55" t="s">
        <v>45</v>
      </c>
      <c r="D56" s="52" t="s">
        <v>1</v>
      </c>
      <c r="E56" s="58">
        <v>871000</v>
      </c>
    </row>
    <row r="57" spans="1:5" ht="12" customHeight="1" x14ac:dyDescent="0.2">
      <c r="A57" s="99"/>
      <c r="B57" s="72"/>
      <c r="C57" s="53" t="s">
        <v>153</v>
      </c>
      <c r="D57" s="52"/>
      <c r="E57" s="59">
        <f>SUBTOTAL(9,E56:E56)</f>
        <v>871000</v>
      </c>
    </row>
    <row r="58" spans="1:5" ht="12" customHeight="1" x14ac:dyDescent="0.2">
      <c r="A58" s="99"/>
      <c r="B58" s="72"/>
      <c r="C58" s="68" t="s">
        <v>46</v>
      </c>
      <c r="D58" s="52" t="s">
        <v>1</v>
      </c>
      <c r="E58" s="58">
        <v>118000</v>
      </c>
    </row>
    <row r="59" spans="1:5" ht="12" customHeight="1" x14ac:dyDescent="0.2">
      <c r="A59" s="99"/>
      <c r="B59" s="72"/>
      <c r="C59" s="68"/>
      <c r="D59" s="52" t="s">
        <v>38</v>
      </c>
      <c r="E59" s="58">
        <v>62000</v>
      </c>
    </row>
    <row r="60" spans="1:5" ht="12" customHeight="1" x14ac:dyDescent="0.2">
      <c r="A60" s="99"/>
      <c r="B60" s="72"/>
      <c r="C60" s="68"/>
      <c r="D60" s="52" t="s">
        <v>2</v>
      </c>
      <c r="E60" s="58">
        <v>97088</v>
      </c>
    </row>
    <row r="61" spans="1:5" ht="12" customHeight="1" x14ac:dyDescent="0.2">
      <c r="A61" s="99"/>
      <c r="B61" s="72"/>
      <c r="C61" s="53" t="s">
        <v>154</v>
      </c>
      <c r="D61" s="54"/>
      <c r="E61" s="59">
        <f>SUBTOTAL(9,E58:E60)</f>
        <v>277088</v>
      </c>
    </row>
    <row r="62" spans="1:5" ht="12.75" thickBot="1" x14ac:dyDescent="0.25">
      <c r="A62" s="100"/>
      <c r="B62" s="60" t="s">
        <v>20</v>
      </c>
      <c r="C62" s="61"/>
      <c r="D62" s="62"/>
      <c r="E62" s="63">
        <f>E16+E20+E25+E32+E37+E40+E42+E49+E55+E57+E61</f>
        <v>44318382.600000001</v>
      </c>
    </row>
    <row r="63" spans="1:5" x14ac:dyDescent="0.2">
      <c r="A63" s="77" t="s">
        <v>107</v>
      </c>
      <c r="B63" s="70" t="s">
        <v>102</v>
      </c>
      <c r="C63" s="70" t="s">
        <v>30</v>
      </c>
      <c r="D63" s="44" t="s">
        <v>1</v>
      </c>
      <c r="E63" s="50">
        <f>17429+12000</f>
        <v>29429</v>
      </c>
    </row>
    <row r="64" spans="1:5" x14ac:dyDescent="0.2">
      <c r="A64" s="77"/>
      <c r="B64" s="71"/>
      <c r="C64" s="71"/>
      <c r="D64" s="27" t="s">
        <v>2</v>
      </c>
      <c r="E64" s="30">
        <v>734600</v>
      </c>
    </row>
    <row r="65" spans="1:5" ht="13.9" customHeight="1" thickBot="1" x14ac:dyDescent="0.25">
      <c r="A65" s="76"/>
      <c r="B65" s="20" t="s">
        <v>20</v>
      </c>
      <c r="C65" s="21"/>
      <c r="D65" s="22"/>
      <c r="E65" s="33">
        <f>SUBTOTAL(9,E63:E64)</f>
        <v>764029</v>
      </c>
    </row>
    <row r="66" spans="1:5" ht="24" x14ac:dyDescent="0.2">
      <c r="A66" s="75" t="s">
        <v>108</v>
      </c>
      <c r="B66" s="25" t="s">
        <v>48</v>
      </c>
      <c r="C66" s="24" t="s">
        <v>31</v>
      </c>
      <c r="D66" s="8" t="s">
        <v>1</v>
      </c>
      <c r="E66" s="28">
        <v>290432</v>
      </c>
    </row>
    <row r="67" spans="1:5" ht="13.9" customHeight="1" thickBot="1" x14ac:dyDescent="0.25">
      <c r="A67" s="76"/>
      <c r="B67" s="20" t="s">
        <v>20</v>
      </c>
      <c r="C67" s="21"/>
      <c r="D67" s="22"/>
      <c r="E67" s="33">
        <f>SUBTOTAL(9,E66:E66)</f>
        <v>290432</v>
      </c>
    </row>
    <row r="68" spans="1:5" ht="24" x14ac:dyDescent="0.2">
      <c r="A68" s="75" t="s">
        <v>109</v>
      </c>
      <c r="B68" s="26" t="s">
        <v>49</v>
      </c>
      <c r="C68" s="24" t="s">
        <v>31</v>
      </c>
      <c r="D68" s="8" t="s">
        <v>1</v>
      </c>
      <c r="E68" s="28">
        <v>160480</v>
      </c>
    </row>
    <row r="69" spans="1:5" ht="13.9" customHeight="1" thickBot="1" x14ac:dyDescent="0.25">
      <c r="A69" s="76"/>
      <c r="B69" s="20" t="s">
        <v>20</v>
      </c>
      <c r="C69" s="21"/>
      <c r="D69" s="22"/>
      <c r="E69" s="33">
        <f>SUBTOTAL(9,E68:E68)</f>
        <v>160480</v>
      </c>
    </row>
    <row r="70" spans="1:5" ht="24" x14ac:dyDescent="0.2">
      <c r="A70" s="75" t="s">
        <v>110</v>
      </c>
      <c r="B70" s="26" t="s">
        <v>50</v>
      </c>
      <c r="C70" s="24" t="s">
        <v>31</v>
      </c>
      <c r="D70" s="8" t="s">
        <v>1</v>
      </c>
      <c r="E70" s="28">
        <v>151950</v>
      </c>
    </row>
    <row r="71" spans="1:5" ht="13.9" customHeight="1" thickBot="1" x14ac:dyDescent="0.25">
      <c r="A71" s="76"/>
      <c r="B71" s="20" t="s">
        <v>20</v>
      </c>
      <c r="C71" s="21"/>
      <c r="D71" s="22"/>
      <c r="E71" s="33">
        <f>SUBTOTAL(9,E70:E70)</f>
        <v>151950</v>
      </c>
    </row>
    <row r="72" spans="1:5" ht="24" x14ac:dyDescent="0.2">
      <c r="A72" s="75" t="s">
        <v>111</v>
      </c>
      <c r="B72" s="24" t="s">
        <v>47</v>
      </c>
      <c r="C72" s="24" t="s">
        <v>31</v>
      </c>
      <c r="D72" s="8" t="s">
        <v>1</v>
      </c>
      <c r="E72" s="28">
        <v>1561626</v>
      </c>
    </row>
    <row r="73" spans="1:5" ht="13.9" customHeight="1" thickBot="1" x14ac:dyDescent="0.25">
      <c r="A73" s="76"/>
      <c r="B73" s="20" t="s">
        <v>20</v>
      </c>
      <c r="C73" s="21"/>
      <c r="D73" s="22"/>
      <c r="E73" s="33">
        <f>SUBTOTAL(9,E72:E72)</f>
        <v>1561626</v>
      </c>
    </row>
    <row r="74" spans="1:5" ht="24" x14ac:dyDescent="0.2">
      <c r="A74" s="75" t="s">
        <v>112</v>
      </c>
      <c r="B74" s="26" t="s">
        <v>51</v>
      </c>
      <c r="C74" s="24" t="s">
        <v>31</v>
      </c>
      <c r="D74" s="8" t="s">
        <v>1</v>
      </c>
      <c r="E74" s="28">
        <v>216128</v>
      </c>
    </row>
    <row r="75" spans="1:5" ht="13.9" customHeight="1" thickBot="1" x14ac:dyDescent="0.25">
      <c r="A75" s="76"/>
      <c r="B75" s="20" t="s">
        <v>20</v>
      </c>
      <c r="C75" s="21"/>
      <c r="D75" s="22"/>
      <c r="E75" s="33">
        <f>SUBTOTAL(9,E74:E74)</f>
        <v>216128</v>
      </c>
    </row>
    <row r="76" spans="1:5" ht="24" x14ac:dyDescent="0.2">
      <c r="A76" s="75" t="s">
        <v>113</v>
      </c>
      <c r="B76" s="26" t="s">
        <v>52</v>
      </c>
      <c r="C76" s="24" t="s">
        <v>31</v>
      </c>
      <c r="D76" s="8" t="s">
        <v>1</v>
      </c>
      <c r="E76" s="28">
        <v>139090</v>
      </c>
    </row>
    <row r="77" spans="1:5" ht="13.9" customHeight="1" thickBot="1" x14ac:dyDescent="0.25">
      <c r="A77" s="76"/>
      <c r="B77" s="20" t="s">
        <v>20</v>
      </c>
      <c r="C77" s="21"/>
      <c r="D77" s="22"/>
      <c r="E77" s="33">
        <f>SUBTOTAL(9,E76:E76)</f>
        <v>139090</v>
      </c>
    </row>
    <row r="78" spans="1:5" ht="24" x14ac:dyDescent="0.2">
      <c r="A78" s="75" t="s">
        <v>114</v>
      </c>
      <c r="B78" s="26" t="s">
        <v>53</v>
      </c>
      <c r="C78" s="24" t="s">
        <v>31</v>
      </c>
      <c r="D78" s="8" t="s">
        <v>1</v>
      </c>
      <c r="E78" s="28">
        <v>257306</v>
      </c>
    </row>
    <row r="79" spans="1:5" ht="13.9" customHeight="1" thickBot="1" x14ac:dyDescent="0.25">
      <c r="A79" s="76"/>
      <c r="B79" s="20" t="s">
        <v>20</v>
      </c>
      <c r="C79" s="21"/>
      <c r="D79" s="22"/>
      <c r="E79" s="33">
        <f>SUBTOTAL(9,E78:E78)</f>
        <v>257306</v>
      </c>
    </row>
    <row r="80" spans="1:5" ht="24" x14ac:dyDescent="0.2">
      <c r="A80" s="75" t="s">
        <v>115</v>
      </c>
      <c r="B80" s="26" t="s">
        <v>54</v>
      </c>
      <c r="C80" s="24" t="s">
        <v>31</v>
      </c>
      <c r="D80" s="8" t="s">
        <v>1</v>
      </c>
      <c r="E80" s="28">
        <v>144134</v>
      </c>
    </row>
    <row r="81" spans="1:8" ht="13.9" customHeight="1" thickBot="1" x14ac:dyDescent="0.25">
      <c r="A81" s="76"/>
      <c r="B81" s="20" t="s">
        <v>20</v>
      </c>
      <c r="C81" s="21"/>
      <c r="D81" s="22"/>
      <c r="E81" s="33">
        <f>SUBTOTAL(9,E80:E80)</f>
        <v>144134</v>
      </c>
    </row>
    <row r="82" spans="1:8" ht="24" x14ac:dyDescent="0.2">
      <c r="A82" s="75" t="s">
        <v>116</v>
      </c>
      <c r="B82" s="26" t="s">
        <v>55</v>
      </c>
      <c r="C82" s="24" t="s">
        <v>31</v>
      </c>
      <c r="D82" s="8" t="s">
        <v>1</v>
      </c>
      <c r="E82" s="28">
        <v>197672</v>
      </c>
    </row>
    <row r="83" spans="1:8" ht="13.9" customHeight="1" thickBot="1" x14ac:dyDescent="0.25">
      <c r="A83" s="76"/>
      <c r="B83" s="20" t="s">
        <v>20</v>
      </c>
      <c r="C83" s="21"/>
      <c r="D83" s="22"/>
      <c r="E83" s="33">
        <f>SUBTOTAL(9,E82:E82)</f>
        <v>197672</v>
      </c>
      <c r="H83" s="34"/>
    </row>
    <row r="84" spans="1:8" ht="12" customHeight="1" x14ac:dyDescent="0.2">
      <c r="A84" s="75" t="s">
        <v>117</v>
      </c>
      <c r="B84" s="69" t="s">
        <v>56</v>
      </c>
      <c r="C84" s="69" t="s">
        <v>40</v>
      </c>
      <c r="D84" s="8" t="s">
        <v>1</v>
      </c>
      <c r="E84" s="28">
        <v>9660</v>
      </c>
    </row>
    <row r="85" spans="1:8" ht="12" customHeight="1" x14ac:dyDescent="0.2">
      <c r="A85" s="77"/>
      <c r="B85" s="71"/>
      <c r="C85" s="71"/>
      <c r="D85" s="6" t="s">
        <v>2</v>
      </c>
      <c r="E85" s="29">
        <v>481250</v>
      </c>
    </row>
    <row r="86" spans="1:8" ht="13.9" customHeight="1" thickBot="1" x14ac:dyDescent="0.25">
      <c r="A86" s="76"/>
      <c r="B86" s="20" t="s">
        <v>20</v>
      </c>
      <c r="C86" s="21"/>
      <c r="D86" s="22"/>
      <c r="E86" s="33">
        <f>SUBTOTAL(9,E84:E85)</f>
        <v>490910</v>
      </c>
    </row>
    <row r="87" spans="1:8" ht="12" customHeight="1" x14ac:dyDescent="0.2">
      <c r="A87" s="75" t="s">
        <v>118</v>
      </c>
      <c r="B87" s="69" t="s">
        <v>57</v>
      </c>
      <c r="C87" s="69" t="s">
        <v>41</v>
      </c>
      <c r="D87" s="8" t="s">
        <v>1</v>
      </c>
      <c r="E87" s="28">
        <f>1715056</f>
        <v>1715056</v>
      </c>
    </row>
    <row r="88" spans="1:8" ht="12" customHeight="1" x14ac:dyDescent="0.2">
      <c r="A88" s="77"/>
      <c r="B88" s="71"/>
      <c r="C88" s="71"/>
      <c r="D88" s="23" t="s">
        <v>4</v>
      </c>
      <c r="E88" s="32">
        <f>10400+77000</f>
        <v>87400</v>
      </c>
    </row>
    <row r="89" spans="1:8" ht="13.15" customHeight="1" thickBot="1" x14ac:dyDescent="0.25">
      <c r="A89" s="76"/>
      <c r="B89" s="20" t="s">
        <v>20</v>
      </c>
      <c r="C89" s="21"/>
      <c r="D89" s="22"/>
      <c r="E89" s="33">
        <f>SUBTOTAL(9,E87:E88)</f>
        <v>1802456</v>
      </c>
    </row>
    <row r="90" spans="1:8" ht="12" customHeight="1" x14ac:dyDescent="0.2">
      <c r="A90" s="75" t="s">
        <v>119</v>
      </c>
      <c r="B90" s="69" t="s">
        <v>58</v>
      </c>
      <c r="C90" s="69" t="s">
        <v>41</v>
      </c>
      <c r="D90" s="8" t="s">
        <v>1</v>
      </c>
      <c r="E90" s="28">
        <f>372749</f>
        <v>372749</v>
      </c>
    </row>
    <row r="91" spans="1:8" ht="12" customHeight="1" x14ac:dyDescent="0.2">
      <c r="A91" s="77"/>
      <c r="B91" s="71"/>
      <c r="C91" s="71"/>
      <c r="D91" s="23" t="s">
        <v>4</v>
      </c>
      <c r="E91" s="32">
        <v>10710</v>
      </c>
    </row>
    <row r="92" spans="1:8" ht="13.9" customHeight="1" thickBot="1" x14ac:dyDescent="0.25">
      <c r="A92" s="76"/>
      <c r="B92" s="20" t="s">
        <v>20</v>
      </c>
      <c r="C92" s="21"/>
      <c r="D92" s="22"/>
      <c r="E92" s="33">
        <f>SUBTOTAL(9,E90:E91)</f>
        <v>383459</v>
      </c>
    </row>
    <row r="93" spans="1:8" x14ac:dyDescent="0.2">
      <c r="A93" s="75" t="s">
        <v>120</v>
      </c>
      <c r="B93" s="69" t="s">
        <v>59</v>
      </c>
      <c r="C93" s="69" t="s">
        <v>41</v>
      </c>
      <c r="D93" s="8" t="s">
        <v>1</v>
      </c>
      <c r="E93" s="28">
        <f>1374426</f>
        <v>1374426</v>
      </c>
    </row>
    <row r="94" spans="1:8" ht="12" customHeight="1" x14ac:dyDescent="0.2">
      <c r="A94" s="77"/>
      <c r="B94" s="70"/>
      <c r="C94" s="70"/>
      <c r="D94" s="23" t="s">
        <v>4</v>
      </c>
      <c r="E94" s="32">
        <f>19000</f>
        <v>19000</v>
      </c>
    </row>
    <row r="95" spans="1:8" ht="12" customHeight="1" x14ac:dyDescent="0.2">
      <c r="A95" s="77"/>
      <c r="B95" s="71"/>
      <c r="C95" s="71"/>
      <c r="D95" s="6" t="s">
        <v>36</v>
      </c>
      <c r="E95" s="29">
        <v>48316</v>
      </c>
    </row>
    <row r="96" spans="1:8" ht="13.9" customHeight="1" thickBot="1" x14ac:dyDescent="0.25">
      <c r="A96" s="76"/>
      <c r="B96" s="20" t="s">
        <v>20</v>
      </c>
      <c r="C96" s="21"/>
      <c r="D96" s="22"/>
      <c r="E96" s="33">
        <f>SUBTOTAL(9,E93:E95)</f>
        <v>1441742</v>
      </c>
    </row>
    <row r="97" spans="1:9" x14ac:dyDescent="0.2">
      <c r="A97" s="75" t="s">
        <v>121</v>
      </c>
      <c r="B97" s="69" t="s">
        <v>60</v>
      </c>
      <c r="C97" s="69" t="s">
        <v>41</v>
      </c>
      <c r="D97" s="8" t="s">
        <v>1</v>
      </c>
      <c r="E97" s="28">
        <f>742151</f>
        <v>742151</v>
      </c>
    </row>
    <row r="98" spans="1:9" ht="12" customHeight="1" x14ac:dyDescent="0.2">
      <c r="A98" s="77"/>
      <c r="B98" s="71"/>
      <c r="C98" s="71"/>
      <c r="D98" s="6" t="s">
        <v>4</v>
      </c>
      <c r="E98" s="29">
        <f>72920+330000</f>
        <v>402920</v>
      </c>
      <c r="I98" s="34"/>
    </row>
    <row r="99" spans="1:9" ht="13.9" customHeight="1" thickBot="1" x14ac:dyDescent="0.25">
      <c r="A99" s="76"/>
      <c r="B99" s="20" t="s">
        <v>20</v>
      </c>
      <c r="C99" s="21"/>
      <c r="D99" s="22"/>
      <c r="E99" s="33">
        <f>SUBTOTAL(9,E97:E98)</f>
        <v>1145071</v>
      </c>
      <c r="I99" s="34"/>
    </row>
    <row r="100" spans="1:9" ht="12" customHeight="1" x14ac:dyDescent="0.2">
      <c r="A100" s="75" t="s">
        <v>122</v>
      </c>
      <c r="B100" s="69" t="s">
        <v>61</v>
      </c>
      <c r="C100" s="69" t="s">
        <v>41</v>
      </c>
      <c r="D100" s="8" t="s">
        <v>1</v>
      </c>
      <c r="E100" s="28">
        <f>91067</f>
        <v>91067</v>
      </c>
    </row>
    <row r="101" spans="1:9" ht="12" customHeight="1" x14ac:dyDescent="0.2">
      <c r="A101" s="77"/>
      <c r="B101" s="71"/>
      <c r="C101" s="71"/>
      <c r="D101" s="6" t="s">
        <v>4</v>
      </c>
      <c r="E101" s="29">
        <v>5580</v>
      </c>
    </row>
    <row r="102" spans="1:9" ht="13.9" customHeight="1" thickBot="1" x14ac:dyDescent="0.25">
      <c r="A102" s="76"/>
      <c r="B102" s="20" t="s">
        <v>20</v>
      </c>
      <c r="C102" s="21"/>
      <c r="D102" s="22"/>
      <c r="E102" s="33">
        <f>SUBTOTAL(9,E100:E101)</f>
        <v>96647</v>
      </c>
    </row>
    <row r="103" spans="1:9" x14ac:dyDescent="0.2">
      <c r="A103" s="75" t="s">
        <v>123</v>
      </c>
      <c r="B103" s="69" t="s">
        <v>67</v>
      </c>
      <c r="C103" s="69" t="s">
        <v>42</v>
      </c>
      <c r="D103" s="8" t="s">
        <v>1</v>
      </c>
      <c r="E103" s="28">
        <f>441412</f>
        <v>441412</v>
      </c>
    </row>
    <row r="104" spans="1:9" ht="12" customHeight="1" x14ac:dyDescent="0.2">
      <c r="A104" s="77"/>
      <c r="B104" s="70"/>
      <c r="C104" s="70"/>
      <c r="D104" s="23" t="s">
        <v>4</v>
      </c>
      <c r="E104" s="32">
        <f>14000</f>
        <v>14000</v>
      </c>
    </row>
    <row r="105" spans="1:9" ht="12" customHeight="1" x14ac:dyDescent="0.2">
      <c r="A105" s="77"/>
      <c r="B105" s="70"/>
      <c r="C105" s="70"/>
      <c r="D105" s="6" t="s">
        <v>3</v>
      </c>
      <c r="E105" s="29">
        <v>1758265</v>
      </c>
    </row>
    <row r="106" spans="1:9" ht="12" customHeight="1" x14ac:dyDescent="0.2">
      <c r="A106" s="77"/>
      <c r="B106" s="71"/>
      <c r="C106" s="71"/>
      <c r="D106" s="6" t="s">
        <v>36</v>
      </c>
      <c r="E106" s="29">
        <v>19676</v>
      </c>
    </row>
    <row r="107" spans="1:9" ht="13.9" customHeight="1" thickBot="1" x14ac:dyDescent="0.25">
      <c r="A107" s="76"/>
      <c r="B107" s="20" t="s">
        <v>20</v>
      </c>
      <c r="C107" s="21"/>
      <c r="D107" s="22"/>
      <c r="E107" s="33">
        <f>SUBTOTAL(9,E103:E106)</f>
        <v>2233353</v>
      </c>
    </row>
    <row r="108" spans="1:9" x14ac:dyDescent="0.2">
      <c r="A108" s="75" t="s">
        <v>124</v>
      </c>
      <c r="B108" s="69" t="s">
        <v>68</v>
      </c>
      <c r="C108" s="69" t="s">
        <v>42</v>
      </c>
      <c r="D108" s="8" t="s">
        <v>1</v>
      </c>
      <c r="E108" s="28">
        <f>530403</f>
        <v>530403</v>
      </c>
    </row>
    <row r="109" spans="1:9" ht="12" customHeight="1" x14ac:dyDescent="0.2">
      <c r="A109" s="77"/>
      <c r="B109" s="70"/>
      <c r="C109" s="70"/>
      <c r="D109" s="23" t="s">
        <v>4</v>
      </c>
      <c r="E109" s="32">
        <f>5700</f>
        <v>5700</v>
      </c>
    </row>
    <row r="110" spans="1:9" ht="12" customHeight="1" x14ac:dyDescent="0.2">
      <c r="A110" s="77"/>
      <c r="B110" s="70"/>
      <c r="C110" s="70"/>
      <c r="D110" s="6" t="s">
        <v>3</v>
      </c>
      <c r="E110" s="29">
        <f>2722396-100000</f>
        <v>2622396</v>
      </c>
    </row>
    <row r="111" spans="1:9" ht="13.9" customHeight="1" thickBot="1" x14ac:dyDescent="0.25">
      <c r="A111" s="76"/>
      <c r="B111" s="20" t="s">
        <v>20</v>
      </c>
      <c r="C111" s="21"/>
      <c r="D111" s="22"/>
      <c r="E111" s="33">
        <f>SUBTOTAL(9,E108:E110)</f>
        <v>3158499</v>
      </c>
    </row>
    <row r="112" spans="1:9" ht="12" customHeight="1" x14ac:dyDescent="0.2">
      <c r="A112" s="75" t="s">
        <v>125</v>
      </c>
      <c r="B112" s="69" t="s">
        <v>69</v>
      </c>
      <c r="C112" s="69" t="s">
        <v>42</v>
      </c>
      <c r="D112" s="8" t="s">
        <v>1</v>
      </c>
      <c r="E112" s="28">
        <f>549160+196910</f>
        <v>746070</v>
      </c>
    </row>
    <row r="113" spans="1:5" ht="12" customHeight="1" x14ac:dyDescent="0.2">
      <c r="A113" s="77"/>
      <c r="B113" s="70"/>
      <c r="C113" s="70"/>
      <c r="D113" s="23" t="s">
        <v>4</v>
      </c>
      <c r="E113" s="32">
        <f>3190+50500+35500</f>
        <v>89190</v>
      </c>
    </row>
    <row r="114" spans="1:5" ht="12" customHeight="1" x14ac:dyDescent="0.2">
      <c r="A114" s="77"/>
      <c r="B114" s="70"/>
      <c r="C114" s="70"/>
      <c r="D114" s="6" t="s">
        <v>3</v>
      </c>
      <c r="E114" s="29">
        <f>1477932+179861</f>
        <v>1657793</v>
      </c>
    </row>
    <row r="115" spans="1:5" ht="12" customHeight="1" x14ac:dyDescent="0.2">
      <c r="A115" s="77"/>
      <c r="B115" s="71"/>
      <c r="C115" s="71"/>
      <c r="D115" s="41" t="s">
        <v>36</v>
      </c>
      <c r="E115" s="42">
        <v>29966</v>
      </c>
    </row>
    <row r="116" spans="1:5" ht="13.9" customHeight="1" thickBot="1" x14ac:dyDescent="0.25">
      <c r="A116" s="76"/>
      <c r="B116" s="20" t="s">
        <v>20</v>
      </c>
      <c r="C116" s="21"/>
      <c r="D116" s="22"/>
      <c r="E116" s="33">
        <f>SUBTOTAL(9,E112:E115)</f>
        <v>2523019</v>
      </c>
    </row>
    <row r="117" spans="1:5" x14ac:dyDescent="0.2">
      <c r="A117" s="75" t="s">
        <v>126</v>
      </c>
      <c r="B117" s="69" t="s">
        <v>70</v>
      </c>
      <c r="C117" s="69" t="s">
        <v>42</v>
      </c>
      <c r="D117" s="8" t="s">
        <v>1</v>
      </c>
      <c r="E117" s="28">
        <f>477676+308802</f>
        <v>786478</v>
      </c>
    </row>
    <row r="118" spans="1:5" ht="12" customHeight="1" x14ac:dyDescent="0.2">
      <c r="A118" s="77"/>
      <c r="B118" s="70"/>
      <c r="C118" s="70"/>
      <c r="D118" s="23" t="s">
        <v>4</v>
      </c>
      <c r="E118" s="32">
        <f>960+3000+51000</f>
        <v>54960</v>
      </c>
    </row>
    <row r="119" spans="1:5" ht="12" customHeight="1" x14ac:dyDescent="0.2">
      <c r="A119" s="77"/>
      <c r="B119" s="70"/>
      <c r="C119" s="70"/>
      <c r="D119" s="6" t="s">
        <v>3</v>
      </c>
      <c r="E119" s="29">
        <f>1185733+361865</f>
        <v>1547598</v>
      </c>
    </row>
    <row r="120" spans="1:5" ht="12" customHeight="1" x14ac:dyDescent="0.2">
      <c r="A120" s="77"/>
      <c r="B120" s="71"/>
      <c r="C120" s="71"/>
      <c r="D120" s="41" t="s">
        <v>36</v>
      </c>
      <c r="E120" s="42">
        <v>9085</v>
      </c>
    </row>
    <row r="121" spans="1:5" ht="13.9" customHeight="1" thickBot="1" x14ac:dyDescent="0.25">
      <c r="A121" s="76"/>
      <c r="B121" s="20" t="s">
        <v>20</v>
      </c>
      <c r="C121" s="21"/>
      <c r="D121" s="22"/>
      <c r="E121" s="33">
        <f>SUBTOTAL(9,E117:E120)</f>
        <v>2398121</v>
      </c>
    </row>
    <row r="122" spans="1:5" ht="12" customHeight="1" x14ac:dyDescent="0.2">
      <c r="A122" s="75" t="s">
        <v>127</v>
      </c>
      <c r="B122" s="69" t="s">
        <v>71</v>
      </c>
      <c r="C122" s="69" t="s">
        <v>42</v>
      </c>
      <c r="D122" s="8" t="s">
        <v>1</v>
      </c>
      <c r="E122" s="28">
        <f>615775+156962</f>
        <v>772737</v>
      </c>
    </row>
    <row r="123" spans="1:5" ht="12" customHeight="1" x14ac:dyDescent="0.2">
      <c r="A123" s="77"/>
      <c r="B123" s="70"/>
      <c r="C123" s="70"/>
      <c r="D123" s="23" t="s">
        <v>4</v>
      </c>
      <c r="E123" s="32">
        <f>8390+45000+7700</f>
        <v>61090</v>
      </c>
    </row>
    <row r="124" spans="1:5" ht="12" customHeight="1" x14ac:dyDescent="0.2">
      <c r="A124" s="77"/>
      <c r="B124" s="70"/>
      <c r="C124" s="70"/>
      <c r="D124" s="6" t="s">
        <v>3</v>
      </c>
      <c r="E124" s="29">
        <f>1706292+118204</f>
        <v>1824496</v>
      </c>
    </row>
    <row r="125" spans="1:5" ht="12" customHeight="1" x14ac:dyDescent="0.2">
      <c r="A125" s="77"/>
      <c r="B125" s="71"/>
      <c r="C125" s="71"/>
      <c r="D125" s="41" t="s">
        <v>36</v>
      </c>
      <c r="E125" s="42">
        <v>5404</v>
      </c>
    </row>
    <row r="126" spans="1:5" ht="13.9" customHeight="1" thickBot="1" x14ac:dyDescent="0.25">
      <c r="A126" s="76"/>
      <c r="B126" s="20" t="s">
        <v>20</v>
      </c>
      <c r="C126" s="21"/>
      <c r="D126" s="22"/>
      <c r="E126" s="33">
        <f>SUBTOTAL(9,E122:E125)</f>
        <v>2663727</v>
      </c>
    </row>
    <row r="127" spans="1:5" ht="12" customHeight="1" x14ac:dyDescent="0.2">
      <c r="A127" s="75" t="s">
        <v>128</v>
      </c>
      <c r="B127" s="69" t="s">
        <v>72</v>
      </c>
      <c r="C127" s="69" t="s">
        <v>42</v>
      </c>
      <c r="D127" s="8" t="s">
        <v>1</v>
      </c>
      <c r="E127" s="28">
        <f>267752+222785</f>
        <v>490537</v>
      </c>
    </row>
    <row r="128" spans="1:5" ht="12" customHeight="1" x14ac:dyDescent="0.2">
      <c r="A128" s="77"/>
      <c r="B128" s="70"/>
      <c r="C128" s="70"/>
      <c r="D128" s="6" t="s">
        <v>4</v>
      </c>
      <c r="E128" s="29">
        <f>270+2000+25000</f>
        <v>27270</v>
      </c>
    </row>
    <row r="129" spans="1:5" ht="12" customHeight="1" x14ac:dyDescent="0.2">
      <c r="A129" s="77"/>
      <c r="B129" s="70"/>
      <c r="C129" s="70"/>
      <c r="D129" s="23" t="s">
        <v>3</v>
      </c>
      <c r="E129" s="32">
        <f>1005357+191351</f>
        <v>1196708</v>
      </c>
    </row>
    <row r="130" spans="1:5" ht="12" customHeight="1" x14ac:dyDescent="0.2">
      <c r="A130" s="77"/>
      <c r="B130" s="71"/>
      <c r="C130" s="71"/>
      <c r="D130" s="43" t="s">
        <v>36</v>
      </c>
      <c r="E130" s="45">
        <v>2850</v>
      </c>
    </row>
    <row r="131" spans="1:5" ht="13.9" customHeight="1" thickBot="1" x14ac:dyDescent="0.25">
      <c r="A131" s="76"/>
      <c r="B131" s="20" t="s">
        <v>20</v>
      </c>
      <c r="C131" s="21"/>
      <c r="D131" s="22"/>
      <c r="E131" s="33">
        <f>SUBTOTAL(9,E127:E130)</f>
        <v>1717365</v>
      </c>
    </row>
    <row r="132" spans="1:5" ht="12" customHeight="1" x14ac:dyDescent="0.2">
      <c r="A132" s="75" t="s">
        <v>129</v>
      </c>
      <c r="B132" s="69" t="s">
        <v>73</v>
      </c>
      <c r="C132" s="69" t="s">
        <v>42</v>
      </c>
      <c r="D132" s="8" t="s">
        <v>1</v>
      </c>
      <c r="E132" s="28">
        <f>414049</f>
        <v>414049</v>
      </c>
    </row>
    <row r="133" spans="1:5" ht="12" customHeight="1" x14ac:dyDescent="0.2">
      <c r="A133" s="77"/>
      <c r="B133" s="70"/>
      <c r="C133" s="70"/>
      <c r="D133" s="23" t="s">
        <v>4</v>
      </c>
      <c r="E133" s="32">
        <f>1520+25000</f>
        <v>26520</v>
      </c>
    </row>
    <row r="134" spans="1:5" ht="12" customHeight="1" x14ac:dyDescent="0.2">
      <c r="A134" s="77"/>
      <c r="B134" s="70"/>
      <c r="C134" s="70"/>
      <c r="D134" s="6" t="s">
        <v>3</v>
      </c>
      <c r="E134" s="29">
        <f>699757</f>
        <v>699757</v>
      </c>
    </row>
    <row r="135" spans="1:5" ht="12" customHeight="1" x14ac:dyDescent="0.2">
      <c r="A135" s="77"/>
      <c r="B135" s="71"/>
      <c r="C135" s="71"/>
      <c r="D135" s="41" t="s">
        <v>36</v>
      </c>
      <c r="E135" s="42">
        <v>2227</v>
      </c>
    </row>
    <row r="136" spans="1:5" ht="13.9" customHeight="1" thickBot="1" x14ac:dyDescent="0.25">
      <c r="A136" s="76"/>
      <c r="B136" s="20" t="s">
        <v>20</v>
      </c>
      <c r="C136" s="21"/>
      <c r="D136" s="22"/>
      <c r="E136" s="33">
        <f>SUBTOTAL(9,E132:E135)</f>
        <v>1142553</v>
      </c>
    </row>
    <row r="137" spans="1:5" ht="12" customHeight="1" x14ac:dyDescent="0.2">
      <c r="A137" s="75" t="s">
        <v>130</v>
      </c>
      <c r="B137" s="69" t="s">
        <v>74</v>
      </c>
      <c r="C137" s="69" t="s">
        <v>42</v>
      </c>
      <c r="D137" s="8" t="s">
        <v>1</v>
      </c>
      <c r="E137" s="28">
        <f>413050</f>
        <v>413050</v>
      </c>
    </row>
    <row r="138" spans="1:5" ht="12" customHeight="1" x14ac:dyDescent="0.2">
      <c r="A138" s="77"/>
      <c r="B138" s="70"/>
      <c r="C138" s="70"/>
      <c r="D138" s="23" t="s">
        <v>4</v>
      </c>
      <c r="E138" s="32">
        <f>1460+23400</f>
        <v>24860</v>
      </c>
    </row>
    <row r="139" spans="1:5" ht="12" customHeight="1" x14ac:dyDescent="0.2">
      <c r="A139" s="77"/>
      <c r="B139" s="70"/>
      <c r="C139" s="70"/>
      <c r="D139" s="6" t="s">
        <v>3</v>
      </c>
      <c r="E139" s="29">
        <f>779937</f>
        <v>779937</v>
      </c>
    </row>
    <row r="140" spans="1:5" ht="12" customHeight="1" x14ac:dyDescent="0.2">
      <c r="A140" s="77"/>
      <c r="B140" s="71"/>
      <c r="C140" s="71"/>
      <c r="D140" s="41" t="s">
        <v>36</v>
      </c>
      <c r="E140" s="42">
        <v>3652</v>
      </c>
    </row>
    <row r="141" spans="1:5" ht="13.9" customHeight="1" thickBot="1" x14ac:dyDescent="0.25">
      <c r="A141" s="76"/>
      <c r="B141" s="20" t="s">
        <v>20</v>
      </c>
      <c r="C141" s="21"/>
      <c r="D141" s="22"/>
      <c r="E141" s="33">
        <f>SUBTOTAL(9,E137:E140)</f>
        <v>1221499</v>
      </c>
    </row>
    <row r="142" spans="1:5" ht="12" customHeight="1" x14ac:dyDescent="0.2">
      <c r="A142" s="75" t="s">
        <v>131</v>
      </c>
      <c r="B142" s="69" t="s">
        <v>75</v>
      </c>
      <c r="C142" s="69" t="s">
        <v>42</v>
      </c>
      <c r="D142" s="8" t="s">
        <v>1</v>
      </c>
      <c r="E142" s="28">
        <f>330048</f>
        <v>330048</v>
      </c>
    </row>
    <row r="143" spans="1:5" ht="12" customHeight="1" x14ac:dyDescent="0.2">
      <c r="A143" s="77"/>
      <c r="B143" s="70"/>
      <c r="C143" s="70"/>
      <c r="D143" s="23" t="s">
        <v>4</v>
      </c>
      <c r="E143" s="32">
        <f>20800</f>
        <v>20800</v>
      </c>
    </row>
    <row r="144" spans="1:5" ht="12" customHeight="1" x14ac:dyDescent="0.2">
      <c r="A144" s="77"/>
      <c r="B144" s="70"/>
      <c r="C144" s="70"/>
      <c r="D144" s="6" t="s">
        <v>3</v>
      </c>
      <c r="E144" s="29">
        <f>644227</f>
        <v>644227</v>
      </c>
    </row>
    <row r="145" spans="1:5" ht="12" customHeight="1" x14ac:dyDescent="0.2">
      <c r="A145" s="77"/>
      <c r="B145" s="71"/>
      <c r="C145" s="71"/>
      <c r="D145" s="41" t="s">
        <v>36</v>
      </c>
      <c r="E145" s="42">
        <v>5314</v>
      </c>
    </row>
    <row r="146" spans="1:5" ht="13.9" customHeight="1" thickBot="1" x14ac:dyDescent="0.25">
      <c r="A146" s="76"/>
      <c r="B146" s="20" t="s">
        <v>20</v>
      </c>
      <c r="C146" s="21"/>
      <c r="D146" s="22"/>
      <c r="E146" s="33">
        <f>SUBTOTAL(9,E142:E145)</f>
        <v>1000389</v>
      </c>
    </row>
    <row r="147" spans="1:5" ht="12" customHeight="1" x14ac:dyDescent="0.2">
      <c r="A147" s="75" t="s">
        <v>132</v>
      </c>
      <c r="B147" s="69" t="s">
        <v>76</v>
      </c>
      <c r="C147" s="69" t="s">
        <v>42</v>
      </c>
      <c r="D147" s="8" t="s">
        <v>1</v>
      </c>
      <c r="E147" s="28">
        <f>234049</f>
        <v>234049</v>
      </c>
    </row>
    <row r="148" spans="1:5" ht="12" customHeight="1" x14ac:dyDescent="0.2">
      <c r="A148" s="77"/>
      <c r="B148" s="70"/>
      <c r="C148" s="70"/>
      <c r="D148" s="23" t="s">
        <v>4</v>
      </c>
      <c r="E148" s="32">
        <f>6040+25600</f>
        <v>31640</v>
      </c>
    </row>
    <row r="149" spans="1:5" ht="12" customHeight="1" x14ac:dyDescent="0.2">
      <c r="A149" s="77"/>
      <c r="B149" s="70"/>
      <c r="C149" s="70"/>
      <c r="D149" s="6" t="s">
        <v>3</v>
      </c>
      <c r="E149" s="29">
        <f>381179</f>
        <v>381179</v>
      </c>
    </row>
    <row r="150" spans="1:5" ht="12" customHeight="1" x14ac:dyDescent="0.2">
      <c r="A150" s="77"/>
      <c r="B150" s="71"/>
      <c r="C150" s="71"/>
      <c r="D150" s="41" t="s">
        <v>36</v>
      </c>
      <c r="E150" s="42">
        <v>1781</v>
      </c>
    </row>
    <row r="151" spans="1:5" ht="13.9" customHeight="1" thickBot="1" x14ac:dyDescent="0.25">
      <c r="A151" s="76"/>
      <c r="B151" s="20" t="s">
        <v>20</v>
      </c>
      <c r="C151" s="21"/>
      <c r="D151" s="22"/>
      <c r="E151" s="33">
        <f>SUBTOTAL(9,E147:E150)</f>
        <v>648649</v>
      </c>
    </row>
    <row r="152" spans="1:5" ht="12" customHeight="1" x14ac:dyDescent="0.2">
      <c r="A152" s="75" t="s">
        <v>133</v>
      </c>
      <c r="B152" s="69" t="s">
        <v>77</v>
      </c>
      <c r="C152" s="69" t="s">
        <v>42</v>
      </c>
      <c r="D152" s="8" t="s">
        <v>1</v>
      </c>
      <c r="E152" s="28">
        <f>732044</f>
        <v>732044</v>
      </c>
    </row>
    <row r="153" spans="1:5" ht="12" customHeight="1" x14ac:dyDescent="0.2">
      <c r="A153" s="77"/>
      <c r="B153" s="70"/>
      <c r="C153" s="70"/>
      <c r="D153" s="23" t="s">
        <v>4</v>
      </c>
      <c r="E153" s="32">
        <f>11320+90000</f>
        <v>101320</v>
      </c>
    </row>
    <row r="154" spans="1:5" ht="12" customHeight="1" x14ac:dyDescent="0.2">
      <c r="A154" s="77"/>
      <c r="B154" s="70"/>
      <c r="C154" s="70"/>
      <c r="D154" s="6" t="s">
        <v>3</v>
      </c>
      <c r="E154" s="29">
        <f>1397703</f>
        <v>1397703</v>
      </c>
    </row>
    <row r="155" spans="1:5" ht="12" customHeight="1" x14ac:dyDescent="0.2">
      <c r="A155" s="77"/>
      <c r="B155" s="71"/>
      <c r="C155" s="71"/>
      <c r="D155" s="41" t="s">
        <v>36</v>
      </c>
      <c r="E155" s="42">
        <v>40708</v>
      </c>
    </row>
    <row r="156" spans="1:5" ht="13.9" customHeight="1" thickBot="1" x14ac:dyDescent="0.25">
      <c r="A156" s="76"/>
      <c r="B156" s="20" t="s">
        <v>20</v>
      </c>
      <c r="C156" s="21"/>
      <c r="D156" s="22"/>
      <c r="E156" s="33">
        <f>SUBTOTAL(9,E152:E155)</f>
        <v>2271775</v>
      </c>
    </row>
    <row r="157" spans="1:5" ht="12" customHeight="1" x14ac:dyDescent="0.2">
      <c r="A157" s="75" t="s">
        <v>134</v>
      </c>
      <c r="B157" s="69" t="s">
        <v>78</v>
      </c>
      <c r="C157" s="69" t="s">
        <v>42</v>
      </c>
      <c r="D157" s="8" t="s">
        <v>1</v>
      </c>
      <c r="E157" s="28">
        <f>518199</f>
        <v>518199</v>
      </c>
    </row>
    <row r="158" spans="1:5" ht="12" customHeight="1" x14ac:dyDescent="0.2">
      <c r="A158" s="77"/>
      <c r="B158" s="70"/>
      <c r="C158" s="70"/>
      <c r="D158" s="6" t="s">
        <v>4</v>
      </c>
      <c r="E158" s="29">
        <f>960+101500</f>
        <v>102460</v>
      </c>
    </row>
    <row r="159" spans="1:5" ht="12" customHeight="1" x14ac:dyDescent="0.2">
      <c r="A159" s="77"/>
      <c r="B159" s="70"/>
      <c r="C159" s="70"/>
      <c r="D159" s="23" t="s">
        <v>3</v>
      </c>
      <c r="E159" s="32">
        <f>523981</f>
        <v>523981</v>
      </c>
    </row>
    <row r="160" spans="1:5" ht="12" customHeight="1" x14ac:dyDescent="0.2">
      <c r="A160" s="77"/>
      <c r="B160" s="71"/>
      <c r="C160" s="71"/>
      <c r="D160" s="43" t="s">
        <v>36</v>
      </c>
      <c r="E160" s="45">
        <v>13153</v>
      </c>
    </row>
    <row r="161" spans="1:5" ht="13.9" customHeight="1" thickBot="1" x14ac:dyDescent="0.25">
      <c r="A161" s="76"/>
      <c r="B161" s="20" t="s">
        <v>20</v>
      </c>
      <c r="C161" s="21"/>
      <c r="D161" s="22"/>
      <c r="E161" s="33">
        <f>SUBTOTAL(9,E157:E160)</f>
        <v>1157793</v>
      </c>
    </row>
    <row r="162" spans="1:5" ht="12" customHeight="1" x14ac:dyDescent="0.2">
      <c r="A162" s="75" t="s">
        <v>135</v>
      </c>
      <c r="B162" s="69" t="s">
        <v>79</v>
      </c>
      <c r="C162" s="69" t="s">
        <v>42</v>
      </c>
      <c r="D162" s="8" t="s">
        <v>1</v>
      </c>
      <c r="E162" s="28">
        <f>579328</f>
        <v>579328</v>
      </c>
    </row>
    <row r="163" spans="1:5" ht="12" customHeight="1" x14ac:dyDescent="0.2">
      <c r="A163" s="77"/>
      <c r="B163" s="70"/>
      <c r="C163" s="70"/>
      <c r="D163" s="6" t="s">
        <v>4</v>
      </c>
      <c r="E163" s="29">
        <f>7680+116100</f>
        <v>123780</v>
      </c>
    </row>
    <row r="164" spans="1:5" ht="12" customHeight="1" x14ac:dyDescent="0.2">
      <c r="A164" s="77"/>
      <c r="B164" s="70"/>
      <c r="C164" s="70"/>
      <c r="D164" s="6" t="s">
        <v>3</v>
      </c>
      <c r="E164" s="29">
        <f>744195</f>
        <v>744195</v>
      </c>
    </row>
    <row r="165" spans="1:5" ht="12" customHeight="1" x14ac:dyDescent="0.2">
      <c r="A165" s="77"/>
      <c r="B165" s="71"/>
      <c r="C165" s="71"/>
      <c r="D165" s="41" t="s">
        <v>36</v>
      </c>
      <c r="E165" s="42">
        <v>18111</v>
      </c>
    </row>
    <row r="166" spans="1:5" ht="13.9" customHeight="1" thickBot="1" x14ac:dyDescent="0.25">
      <c r="A166" s="76"/>
      <c r="B166" s="20" t="s">
        <v>20</v>
      </c>
      <c r="C166" s="21"/>
      <c r="D166" s="22"/>
      <c r="E166" s="33">
        <f>SUBTOTAL(9,E162:E165)</f>
        <v>1465414</v>
      </c>
    </row>
    <row r="167" spans="1:5" ht="12" customHeight="1" x14ac:dyDescent="0.2">
      <c r="A167" s="75" t="s">
        <v>136</v>
      </c>
      <c r="B167" s="69" t="s">
        <v>80</v>
      </c>
      <c r="C167" s="69" t="s">
        <v>42</v>
      </c>
      <c r="D167" s="8" t="s">
        <v>1</v>
      </c>
      <c r="E167" s="28">
        <f>574289</f>
        <v>574289</v>
      </c>
    </row>
    <row r="168" spans="1:5" ht="12" customHeight="1" x14ac:dyDescent="0.2">
      <c r="A168" s="77"/>
      <c r="B168" s="70"/>
      <c r="C168" s="70"/>
      <c r="D168" s="6" t="s">
        <v>4</v>
      </c>
      <c r="E168" s="32">
        <f>10140+112900</f>
        <v>123040</v>
      </c>
    </row>
    <row r="169" spans="1:5" ht="12" customHeight="1" x14ac:dyDescent="0.2">
      <c r="A169" s="77"/>
      <c r="B169" s="70"/>
      <c r="C169" s="70"/>
      <c r="D169" s="6" t="s">
        <v>3</v>
      </c>
      <c r="E169" s="29">
        <f>716429</f>
        <v>716429</v>
      </c>
    </row>
    <row r="170" spans="1:5" ht="12" customHeight="1" x14ac:dyDescent="0.2">
      <c r="A170" s="77"/>
      <c r="B170" s="71"/>
      <c r="C170" s="71"/>
      <c r="D170" s="41" t="s">
        <v>36</v>
      </c>
      <c r="E170" s="42">
        <v>15172</v>
      </c>
    </row>
    <row r="171" spans="1:5" ht="13.9" customHeight="1" thickBot="1" x14ac:dyDescent="0.25">
      <c r="A171" s="76"/>
      <c r="B171" s="20" t="s">
        <v>20</v>
      </c>
      <c r="C171" s="21"/>
      <c r="D171" s="22"/>
      <c r="E171" s="33">
        <f>SUBTOTAL(9,E167:E170)</f>
        <v>1428930</v>
      </c>
    </row>
    <row r="172" spans="1:5" ht="12" customHeight="1" x14ac:dyDescent="0.2">
      <c r="A172" s="75" t="s">
        <v>137</v>
      </c>
      <c r="B172" s="69" t="s">
        <v>81</v>
      </c>
      <c r="C172" s="69" t="s">
        <v>42</v>
      </c>
      <c r="D172" s="8" t="s">
        <v>1</v>
      </c>
      <c r="E172" s="28">
        <f>390432</f>
        <v>390432</v>
      </c>
    </row>
    <row r="173" spans="1:5" ht="12" customHeight="1" x14ac:dyDescent="0.2">
      <c r="A173" s="77"/>
      <c r="B173" s="70"/>
      <c r="C173" s="70"/>
      <c r="D173" s="6" t="s">
        <v>4</v>
      </c>
      <c r="E173" s="32">
        <f>68000</f>
        <v>68000</v>
      </c>
    </row>
    <row r="174" spans="1:5" ht="12" customHeight="1" x14ac:dyDescent="0.2">
      <c r="A174" s="77"/>
      <c r="B174" s="70"/>
      <c r="C174" s="70"/>
      <c r="D174" s="6" t="s">
        <v>3</v>
      </c>
      <c r="E174" s="29">
        <f>615734</f>
        <v>615734</v>
      </c>
    </row>
    <row r="175" spans="1:5" ht="12" customHeight="1" x14ac:dyDescent="0.2">
      <c r="A175" s="77"/>
      <c r="B175" s="71"/>
      <c r="C175" s="71"/>
      <c r="D175" s="41" t="s">
        <v>36</v>
      </c>
      <c r="E175" s="42">
        <v>9352</v>
      </c>
    </row>
    <row r="176" spans="1:5" ht="13.9" customHeight="1" thickBot="1" x14ac:dyDescent="0.25">
      <c r="A176" s="76"/>
      <c r="B176" s="20" t="s">
        <v>20</v>
      </c>
      <c r="C176" s="21"/>
      <c r="D176" s="22"/>
      <c r="E176" s="33">
        <f>SUBTOTAL(9,E172:E175)</f>
        <v>1083518</v>
      </c>
    </row>
    <row r="177" spans="1:9" ht="12" customHeight="1" x14ac:dyDescent="0.2">
      <c r="A177" s="75" t="s">
        <v>138</v>
      </c>
      <c r="B177" s="69" t="s">
        <v>82</v>
      </c>
      <c r="C177" s="69" t="s">
        <v>42</v>
      </c>
      <c r="D177" s="8" t="s">
        <v>1</v>
      </c>
      <c r="E177" s="28">
        <f>558361</f>
        <v>558361</v>
      </c>
    </row>
    <row r="178" spans="1:9" ht="12" customHeight="1" x14ac:dyDescent="0.2">
      <c r="A178" s="77"/>
      <c r="B178" s="70"/>
      <c r="C178" s="70"/>
      <c r="D178" s="6" t="s">
        <v>4</v>
      </c>
      <c r="E178" s="29">
        <f>4050+34200</f>
        <v>38250</v>
      </c>
    </row>
    <row r="179" spans="1:9" ht="12" customHeight="1" x14ac:dyDescent="0.2">
      <c r="A179" s="77"/>
      <c r="B179" s="70"/>
      <c r="C179" s="70"/>
      <c r="D179" s="6" t="s">
        <v>3</v>
      </c>
      <c r="E179" s="32">
        <f>237321</f>
        <v>237321</v>
      </c>
    </row>
    <row r="180" spans="1:9" ht="12" customHeight="1" x14ac:dyDescent="0.2">
      <c r="A180" s="77"/>
      <c r="B180" s="71"/>
      <c r="C180" s="71"/>
      <c r="D180" s="41" t="s">
        <v>36</v>
      </c>
      <c r="E180" s="45">
        <v>123679</v>
      </c>
    </row>
    <row r="181" spans="1:9" ht="13.9" customHeight="1" thickBot="1" x14ac:dyDescent="0.25">
      <c r="A181" s="76"/>
      <c r="B181" s="20" t="s">
        <v>20</v>
      </c>
      <c r="C181" s="21"/>
      <c r="D181" s="22"/>
      <c r="E181" s="33">
        <f>SUBTOTAL(9,E177:E180)</f>
        <v>957611</v>
      </c>
    </row>
    <row r="182" spans="1:9" ht="12" customHeight="1" x14ac:dyDescent="0.2">
      <c r="A182" s="75" t="s">
        <v>139</v>
      </c>
      <c r="B182" s="69" t="s">
        <v>83</v>
      </c>
      <c r="C182" s="69" t="s">
        <v>42</v>
      </c>
      <c r="D182" s="8" t="s">
        <v>1</v>
      </c>
      <c r="E182" s="28">
        <f>683127+517632</f>
        <v>1200759</v>
      </c>
    </row>
    <row r="183" spans="1:9" ht="12" customHeight="1" x14ac:dyDescent="0.2">
      <c r="A183" s="77"/>
      <c r="B183" s="70"/>
      <c r="C183" s="70"/>
      <c r="D183" s="6" t="s">
        <v>4</v>
      </c>
      <c r="E183" s="29">
        <f>82200+18600+342000</f>
        <v>442800</v>
      </c>
    </row>
    <row r="184" spans="1:9" ht="12" customHeight="1" x14ac:dyDescent="0.2">
      <c r="A184" s="77"/>
      <c r="B184" s="70"/>
      <c r="C184" s="70"/>
      <c r="D184" s="6" t="s">
        <v>3</v>
      </c>
      <c r="E184" s="32">
        <f>59304</f>
        <v>59304</v>
      </c>
    </row>
    <row r="185" spans="1:9" ht="12" customHeight="1" x14ac:dyDescent="0.2">
      <c r="A185" s="77"/>
      <c r="B185" s="71"/>
      <c r="C185" s="71"/>
      <c r="D185" s="41" t="s">
        <v>36</v>
      </c>
      <c r="E185" s="45">
        <v>46731</v>
      </c>
    </row>
    <row r="186" spans="1:9" ht="13.9" customHeight="1" thickBot="1" x14ac:dyDescent="0.25">
      <c r="A186" s="76"/>
      <c r="B186" s="20" t="s">
        <v>20</v>
      </c>
      <c r="C186" s="21"/>
      <c r="D186" s="22"/>
      <c r="E186" s="33">
        <f>SUBTOTAL(9,E182:E185)</f>
        <v>1749594</v>
      </c>
    </row>
    <row r="187" spans="1:9" ht="12" customHeight="1" x14ac:dyDescent="0.2">
      <c r="A187" s="75" t="s">
        <v>140</v>
      </c>
      <c r="B187" s="69" t="s">
        <v>84</v>
      </c>
      <c r="C187" s="69" t="s">
        <v>42</v>
      </c>
      <c r="D187" s="8" t="s">
        <v>1</v>
      </c>
      <c r="E187" s="28">
        <f>1169565</f>
        <v>1169565</v>
      </c>
    </row>
    <row r="188" spans="1:9" ht="12" customHeight="1" x14ac:dyDescent="0.2">
      <c r="A188" s="77"/>
      <c r="B188" s="70"/>
      <c r="C188" s="70"/>
      <c r="D188" s="6" t="s">
        <v>4</v>
      </c>
      <c r="E188" s="29">
        <f>29590+104000</f>
        <v>133590</v>
      </c>
    </row>
    <row r="189" spans="1:9" ht="12" customHeight="1" x14ac:dyDescent="0.2">
      <c r="A189" s="77"/>
      <c r="B189" s="70"/>
      <c r="C189" s="70"/>
      <c r="D189" s="6" t="s">
        <v>3</v>
      </c>
      <c r="E189" s="29">
        <f>40868</f>
        <v>40868</v>
      </c>
    </row>
    <row r="190" spans="1:9" ht="12" customHeight="1" x14ac:dyDescent="0.2">
      <c r="A190" s="77"/>
      <c r="B190" s="71"/>
      <c r="C190" s="71"/>
      <c r="D190" s="41" t="s">
        <v>36</v>
      </c>
      <c r="E190" s="42">
        <v>114395</v>
      </c>
    </row>
    <row r="191" spans="1:9" ht="13.9" customHeight="1" thickBot="1" x14ac:dyDescent="0.25">
      <c r="A191" s="76"/>
      <c r="B191" s="20" t="s">
        <v>20</v>
      </c>
      <c r="C191" s="21"/>
      <c r="D191" s="22"/>
      <c r="E191" s="33">
        <f>SUBTOTAL(9,E187:E190)</f>
        <v>1458418</v>
      </c>
    </row>
    <row r="192" spans="1:9" ht="12" customHeight="1" x14ac:dyDescent="0.2">
      <c r="A192" s="75" t="s">
        <v>141</v>
      </c>
      <c r="B192" s="69" t="s">
        <v>85</v>
      </c>
      <c r="C192" s="69" t="s">
        <v>42</v>
      </c>
      <c r="D192" s="8" t="s">
        <v>1</v>
      </c>
      <c r="E192" s="28">
        <f>393392</f>
        <v>393392</v>
      </c>
      <c r="I192" s="34"/>
    </row>
    <row r="193" spans="1:9" ht="12" customHeight="1" x14ac:dyDescent="0.2">
      <c r="A193" s="77"/>
      <c r="B193" s="70"/>
      <c r="C193" s="70"/>
      <c r="D193" s="6" t="s">
        <v>4</v>
      </c>
      <c r="E193" s="29">
        <f>18270+21000</f>
        <v>39270</v>
      </c>
      <c r="I193" s="34"/>
    </row>
    <row r="194" spans="1:9" ht="12" customHeight="1" x14ac:dyDescent="0.2">
      <c r="A194" s="77"/>
      <c r="B194" s="70"/>
      <c r="C194" s="70"/>
      <c r="D194" s="6" t="s">
        <v>3</v>
      </c>
      <c r="E194" s="32">
        <f>17899</f>
        <v>17899</v>
      </c>
      <c r="I194" s="34"/>
    </row>
    <row r="195" spans="1:9" ht="12" customHeight="1" x14ac:dyDescent="0.2">
      <c r="A195" s="77"/>
      <c r="B195" s="71"/>
      <c r="C195" s="71"/>
      <c r="D195" s="41" t="s">
        <v>36</v>
      </c>
      <c r="E195" s="45">
        <v>33253</v>
      </c>
      <c r="I195" s="34"/>
    </row>
    <row r="196" spans="1:9" ht="11.45" customHeight="1" thickBot="1" x14ac:dyDescent="0.25">
      <c r="A196" s="76"/>
      <c r="B196" s="20" t="s">
        <v>20</v>
      </c>
      <c r="C196" s="21"/>
      <c r="D196" s="22"/>
      <c r="E196" s="33">
        <f>SUBTOTAL(9,E192:E195)</f>
        <v>483814</v>
      </c>
    </row>
    <row r="197" spans="1:9" ht="12" customHeight="1" x14ac:dyDescent="0.2">
      <c r="A197" s="75" t="s">
        <v>142</v>
      </c>
      <c r="B197" s="69" t="s">
        <v>62</v>
      </c>
      <c r="C197" s="69" t="s">
        <v>44</v>
      </c>
      <c r="D197" s="8" t="s">
        <v>1</v>
      </c>
      <c r="E197" s="28">
        <v>1157087</v>
      </c>
    </row>
    <row r="198" spans="1:9" ht="12" customHeight="1" x14ac:dyDescent="0.2">
      <c r="A198" s="77"/>
      <c r="B198" s="70"/>
      <c r="C198" s="70"/>
      <c r="D198" s="6" t="s">
        <v>4</v>
      </c>
      <c r="E198" s="29">
        <f>63400</f>
        <v>63400</v>
      </c>
    </row>
    <row r="199" spans="1:9" ht="12" customHeight="1" x14ac:dyDescent="0.2">
      <c r="A199" s="77"/>
      <c r="B199" s="71"/>
      <c r="C199" s="71"/>
      <c r="D199" s="6" t="s">
        <v>36</v>
      </c>
      <c r="E199" s="29">
        <f>15600+14348</f>
        <v>29948</v>
      </c>
    </row>
    <row r="200" spans="1:9" ht="13.9" customHeight="1" thickBot="1" x14ac:dyDescent="0.25">
      <c r="A200" s="76"/>
      <c r="B200" s="20" t="s">
        <v>20</v>
      </c>
      <c r="C200" s="21"/>
      <c r="D200" s="22"/>
      <c r="E200" s="33">
        <f>SUBTOTAL(9,E197:E199)</f>
        <v>1250435</v>
      </c>
    </row>
    <row r="201" spans="1:9" x14ac:dyDescent="0.2">
      <c r="A201" s="75" t="s">
        <v>143</v>
      </c>
      <c r="B201" s="69" t="s">
        <v>63</v>
      </c>
      <c r="C201" s="69" t="s">
        <v>44</v>
      </c>
      <c r="D201" s="8" t="s">
        <v>1</v>
      </c>
      <c r="E201" s="28">
        <f>2130030</f>
        <v>2130030</v>
      </c>
    </row>
    <row r="202" spans="1:9" ht="12" customHeight="1" x14ac:dyDescent="0.2">
      <c r="A202" s="77"/>
      <c r="B202" s="70"/>
      <c r="C202" s="70"/>
      <c r="D202" s="6" t="s">
        <v>4</v>
      </c>
      <c r="E202" s="29">
        <f>36970+126000</f>
        <v>162970</v>
      </c>
    </row>
    <row r="203" spans="1:9" ht="12" customHeight="1" x14ac:dyDescent="0.2">
      <c r="A203" s="77"/>
      <c r="B203" s="70"/>
      <c r="C203" s="70"/>
      <c r="D203" s="6" t="s">
        <v>2</v>
      </c>
      <c r="E203" s="29">
        <f>480700</f>
        <v>480700</v>
      </c>
    </row>
    <row r="204" spans="1:9" ht="12" customHeight="1" x14ac:dyDescent="0.2">
      <c r="A204" s="77"/>
      <c r="B204" s="71"/>
      <c r="C204" s="71"/>
      <c r="D204" s="6" t="s">
        <v>36</v>
      </c>
      <c r="E204" s="29">
        <f>59002+41454</f>
        <v>100456</v>
      </c>
    </row>
    <row r="205" spans="1:9" ht="13.9" customHeight="1" thickBot="1" x14ac:dyDescent="0.25">
      <c r="A205" s="76"/>
      <c r="B205" s="20" t="s">
        <v>20</v>
      </c>
      <c r="C205" s="21"/>
      <c r="D205" s="22"/>
      <c r="E205" s="33">
        <f>SUBTOTAL(9,E201:E204)</f>
        <v>2874156</v>
      </c>
    </row>
    <row r="206" spans="1:9" ht="12.75" thickBot="1" x14ac:dyDescent="0.25">
      <c r="A206" s="79" t="s">
        <v>5</v>
      </c>
      <c r="B206" s="80"/>
      <c r="C206" s="81"/>
      <c r="D206" s="11"/>
      <c r="E206" s="31">
        <f>E11+E62+E65+E67+E69+E71+E73+E75+E77+E79+E81+E83+E86+E89+E92+E96+E99+E102+E107+E111+E116+E121+E126+E131+E136+E141+E146+E151+E156+E161+E166+E171+E176+E181+E186+E191+E196+E200+E205</f>
        <v>88561256.599999994</v>
      </c>
    </row>
    <row r="207" spans="1:9" ht="12.75" thickBot="1" x14ac:dyDescent="0.25"/>
    <row r="208" spans="1:9" ht="12.75" thickBot="1" x14ac:dyDescent="0.25">
      <c r="B208" s="13" t="s">
        <v>7</v>
      </c>
      <c r="C208" s="82" t="s">
        <v>0</v>
      </c>
      <c r="D208" s="82"/>
      <c r="E208" s="9" t="s">
        <v>96</v>
      </c>
    </row>
    <row r="209" spans="2:5" x14ac:dyDescent="0.2">
      <c r="B209" s="14" t="s">
        <v>8</v>
      </c>
      <c r="C209" s="83" t="s">
        <v>86</v>
      </c>
      <c r="D209" s="83"/>
      <c r="E209" s="35">
        <f>E11+E16+E65</f>
        <v>8360862</v>
      </c>
    </row>
    <row r="210" spans="2:5" x14ac:dyDescent="0.2">
      <c r="B210" s="15" t="s">
        <v>9</v>
      </c>
      <c r="C210" s="89" t="s">
        <v>87</v>
      </c>
      <c r="D210" s="89"/>
      <c r="E210" s="36">
        <f>E20+E67+E69+E71+E73+E75+E77+E79+E81+E83</f>
        <v>4677868</v>
      </c>
    </row>
    <row r="211" spans="2:5" x14ac:dyDescent="0.2">
      <c r="B211" s="15" t="s">
        <v>10</v>
      </c>
      <c r="C211" s="89" t="s">
        <v>88</v>
      </c>
      <c r="D211" s="89"/>
      <c r="E211" s="36">
        <f>E25</f>
        <v>792482</v>
      </c>
    </row>
    <row r="212" spans="2:5" x14ac:dyDescent="0.2">
      <c r="B212" s="15" t="s">
        <v>11</v>
      </c>
      <c r="C212" s="89" t="s">
        <v>89</v>
      </c>
      <c r="D212" s="89"/>
      <c r="E212" s="36">
        <f>E32</f>
        <v>9922156</v>
      </c>
    </row>
    <row r="213" spans="2:5" x14ac:dyDescent="0.2">
      <c r="B213" s="15" t="s">
        <v>12</v>
      </c>
      <c r="C213" s="89" t="s">
        <v>90</v>
      </c>
      <c r="D213" s="89"/>
      <c r="E213" s="36">
        <f>E37</f>
        <v>9821105</v>
      </c>
    </row>
    <row r="214" spans="2:5" x14ac:dyDescent="0.2">
      <c r="B214" s="15" t="s">
        <v>13</v>
      </c>
      <c r="C214" s="89" t="s">
        <v>15</v>
      </c>
      <c r="D214" s="89"/>
      <c r="E214" s="36">
        <f>E40+E86</f>
        <v>770910</v>
      </c>
    </row>
    <row r="215" spans="2:5" x14ac:dyDescent="0.2">
      <c r="B215" s="15" t="s">
        <v>14</v>
      </c>
      <c r="C215" s="89" t="s">
        <v>91</v>
      </c>
      <c r="D215" s="89"/>
      <c r="E215" s="36">
        <f>E42+E89+E92+E96+E99+E102</f>
        <v>5298375</v>
      </c>
    </row>
    <row r="216" spans="2:5" x14ac:dyDescent="0.2">
      <c r="B216" s="15" t="s">
        <v>16</v>
      </c>
      <c r="C216" s="89" t="s">
        <v>92</v>
      </c>
      <c r="D216" s="89"/>
      <c r="E216" s="36">
        <f>E49+E107+E111+E116+E121+E126+E131+E136+E141+E146+E151+E156+E161+E166+E171+E176+E181+E186+E191+E196</f>
        <v>37181930.600000001</v>
      </c>
    </row>
    <row r="217" spans="2:5" x14ac:dyDescent="0.2">
      <c r="B217" s="15" t="s">
        <v>17</v>
      </c>
      <c r="C217" s="89" t="s">
        <v>93</v>
      </c>
      <c r="D217" s="89"/>
      <c r="E217" s="36">
        <f>E55+E200+E205</f>
        <v>10587480</v>
      </c>
    </row>
    <row r="218" spans="2:5" x14ac:dyDescent="0.2">
      <c r="B218" s="18">
        <v>10</v>
      </c>
      <c r="C218" s="84" t="s">
        <v>94</v>
      </c>
      <c r="D218" s="85"/>
      <c r="E218" s="37">
        <f>E57</f>
        <v>871000</v>
      </c>
    </row>
    <row r="219" spans="2:5" ht="12.75" thickBot="1" x14ac:dyDescent="0.25">
      <c r="B219" s="19">
        <v>11</v>
      </c>
      <c r="C219" s="90" t="s">
        <v>95</v>
      </c>
      <c r="D219" s="90"/>
      <c r="E219" s="38">
        <f>E61</f>
        <v>277088</v>
      </c>
    </row>
    <row r="220" spans="2:5" ht="12.75" thickBot="1" x14ac:dyDescent="0.25">
      <c r="B220" s="91" t="s">
        <v>5</v>
      </c>
      <c r="C220" s="92"/>
      <c r="D220" s="93"/>
      <c r="E220" s="39">
        <f t="shared" ref="E220" si="0">SUBTOTAL(9,E209:E219)</f>
        <v>88561256.599999994</v>
      </c>
    </row>
    <row r="221" spans="2:5" ht="10.9" customHeight="1" thickBot="1" x14ac:dyDescent="0.25"/>
    <row r="222" spans="2:5" ht="12.75" thickBot="1" x14ac:dyDescent="0.25">
      <c r="B222" s="16" t="s">
        <v>66</v>
      </c>
      <c r="C222" s="82" t="s">
        <v>0</v>
      </c>
      <c r="D222" s="82"/>
      <c r="E222" s="17" t="s">
        <v>96</v>
      </c>
    </row>
    <row r="223" spans="2:5" ht="24" customHeight="1" x14ac:dyDescent="0.2">
      <c r="B223" s="14" t="s">
        <v>1</v>
      </c>
      <c r="C223" s="78" t="s">
        <v>97</v>
      </c>
      <c r="D223" s="78"/>
      <c r="E223" s="65">
        <f>E10+E12+E17+E21+E26+E33+E38+E41+E43+E50+E56+E58+E63+E66+E68+E70+E72+E74+E76+E78+E80+E82+E84+E87+E90+E93+E97+E100+E103+E108+E112+E117+E122+E127+E132+E137+E142+E147+E152+E157+E162+E167+E172+E177+E182+E187+E192+E197+E201</f>
        <v>49144340</v>
      </c>
    </row>
    <row r="224" spans="2:5" x14ac:dyDescent="0.2">
      <c r="B224" s="15" t="s">
        <v>4</v>
      </c>
      <c r="C224" s="78" t="s">
        <v>98</v>
      </c>
      <c r="D224" s="78"/>
      <c r="E224" s="58">
        <f>E13+E18+E88+E91+E94+E98+E101+E104+E109+E113+E118+E123+E128+E133+E138+E143+E148+E153+E158+E163+E168+E173+E178+E183+E188+E193+E198+E202</f>
        <v>2431570</v>
      </c>
    </row>
    <row r="225" spans="2:5" ht="24.6" customHeight="1" x14ac:dyDescent="0.2">
      <c r="B225" s="15" t="s">
        <v>2</v>
      </c>
      <c r="C225" s="78" t="s">
        <v>24</v>
      </c>
      <c r="D225" s="78"/>
      <c r="E225" s="58">
        <f>E14+E22+E51+E60+E64+E85+E203</f>
        <v>4906997</v>
      </c>
    </row>
    <row r="226" spans="2:5" x14ac:dyDescent="0.2">
      <c r="B226" s="15" t="s">
        <v>158</v>
      </c>
      <c r="C226" s="96" t="s">
        <v>159</v>
      </c>
      <c r="D226" s="97"/>
      <c r="E226" s="58">
        <f>E36</f>
        <v>2390900</v>
      </c>
    </row>
    <row r="227" spans="2:5" x14ac:dyDescent="0.2">
      <c r="B227" s="15" t="s">
        <v>3</v>
      </c>
      <c r="C227" s="78" t="s">
        <v>99</v>
      </c>
      <c r="D227" s="78"/>
      <c r="E227" s="58">
        <f>E44+E48+E105+E110+E114+E119+E124+E129+E134+E139+E144+E149+E154+E159+E164+E169+E174+E179+E184+E189+E194</f>
        <v>20977599.600000001</v>
      </c>
    </row>
    <row r="228" spans="2:5" x14ac:dyDescent="0.2">
      <c r="B228" s="15" t="s">
        <v>36</v>
      </c>
      <c r="C228" s="78" t="s">
        <v>155</v>
      </c>
      <c r="D228" s="78"/>
      <c r="E228" s="58">
        <f>E46+E53+E95+E115+E120+E125+E130+E135+E140+E145+E150+E155+E160+E165+E170+E175+E180+E185+E190+E195+E199+E204+E106</f>
        <v>1440253</v>
      </c>
    </row>
    <row r="229" spans="2:5" x14ac:dyDescent="0.2">
      <c r="B229" s="15" t="s">
        <v>105</v>
      </c>
      <c r="C229" s="96" t="s">
        <v>156</v>
      </c>
      <c r="D229" s="97"/>
      <c r="E229" s="58">
        <f>E23+E30+E45+E52</f>
        <v>936709</v>
      </c>
    </row>
    <row r="230" spans="2:5" x14ac:dyDescent="0.2">
      <c r="B230" s="15" t="s">
        <v>35</v>
      </c>
      <c r="C230" s="95" t="s">
        <v>23</v>
      </c>
      <c r="D230" s="95"/>
      <c r="E230" s="58">
        <f>E27</f>
        <v>1760000</v>
      </c>
    </row>
    <row r="231" spans="2:5" ht="25.5" customHeight="1" x14ac:dyDescent="0.2">
      <c r="B231" s="15" t="s">
        <v>43</v>
      </c>
      <c r="C231" s="78" t="s">
        <v>25</v>
      </c>
      <c r="D231" s="78"/>
      <c r="E231" s="58">
        <f>E15+E24+E31+E47+E54</f>
        <v>3066303</v>
      </c>
    </row>
    <row r="232" spans="2:5" ht="24" customHeight="1" x14ac:dyDescent="0.2">
      <c r="B232" s="15" t="s">
        <v>101</v>
      </c>
      <c r="C232" s="78" t="s">
        <v>157</v>
      </c>
      <c r="D232" s="78"/>
      <c r="E232" s="58">
        <f>E19+E29</f>
        <v>475000</v>
      </c>
    </row>
    <row r="233" spans="2:5" x14ac:dyDescent="0.2">
      <c r="B233" s="15" t="s">
        <v>38</v>
      </c>
      <c r="C233" s="78" t="s">
        <v>100</v>
      </c>
      <c r="D233" s="78"/>
      <c r="E233" s="58">
        <f>E34+E59</f>
        <v>327000</v>
      </c>
    </row>
    <row r="234" spans="2:5" x14ac:dyDescent="0.2">
      <c r="B234" s="15" t="s">
        <v>39</v>
      </c>
      <c r="C234" s="78" t="s">
        <v>26</v>
      </c>
      <c r="D234" s="78"/>
      <c r="E234" s="58">
        <f>E35+E39</f>
        <v>274585</v>
      </c>
    </row>
    <row r="235" spans="2:5" ht="25.15" customHeight="1" thickBot="1" x14ac:dyDescent="0.25">
      <c r="B235" s="18" t="s">
        <v>103</v>
      </c>
      <c r="C235" s="94" t="s">
        <v>106</v>
      </c>
      <c r="D235" s="94"/>
      <c r="E235" s="66">
        <f>E28</f>
        <v>430000</v>
      </c>
    </row>
    <row r="236" spans="2:5" ht="12.6" customHeight="1" thickBot="1" x14ac:dyDescent="0.25">
      <c r="B236" s="86" t="s">
        <v>5</v>
      </c>
      <c r="C236" s="87"/>
      <c r="D236" s="88"/>
      <c r="E236" s="40">
        <f>SUBTOTAL(9,E223:E235)</f>
        <v>88561256.599999994</v>
      </c>
    </row>
  </sheetData>
  <mergeCells count="138">
    <mergeCell ref="D1:E3"/>
    <mergeCell ref="A12:A62"/>
    <mergeCell ref="C87:C88"/>
    <mergeCell ref="B87:B88"/>
    <mergeCell ref="A87:A89"/>
    <mergeCell ref="C90:C91"/>
    <mergeCell ref="B90:B91"/>
    <mergeCell ref="A90:A92"/>
    <mergeCell ref="A10:A11"/>
    <mergeCell ref="A66:A67"/>
    <mergeCell ref="A68:A69"/>
    <mergeCell ref="A70:A71"/>
    <mergeCell ref="A72:A73"/>
    <mergeCell ref="A74:A75"/>
    <mergeCell ref="A76:A77"/>
    <mergeCell ref="A63:A65"/>
    <mergeCell ref="B63:B64"/>
    <mergeCell ref="C63:C64"/>
    <mergeCell ref="C50:C54"/>
    <mergeCell ref="C21:C24"/>
    <mergeCell ref="C26:C31"/>
    <mergeCell ref="C38:C39"/>
    <mergeCell ref="A78:A79"/>
    <mergeCell ref="A80:A81"/>
    <mergeCell ref="B236:D236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9:D219"/>
    <mergeCell ref="B220:D220"/>
    <mergeCell ref="C222:D222"/>
    <mergeCell ref="C233:D233"/>
    <mergeCell ref="C234:D234"/>
    <mergeCell ref="C235:D235"/>
    <mergeCell ref="C223:D223"/>
    <mergeCell ref="C224:D224"/>
    <mergeCell ref="C225:D225"/>
    <mergeCell ref="C227:D227"/>
    <mergeCell ref="C228:D228"/>
    <mergeCell ref="C230:D230"/>
    <mergeCell ref="C226:D226"/>
    <mergeCell ref="C231:D231"/>
    <mergeCell ref="C229:D229"/>
    <mergeCell ref="C232:D232"/>
    <mergeCell ref="A206:C206"/>
    <mergeCell ref="C208:D208"/>
    <mergeCell ref="C209:D209"/>
    <mergeCell ref="A152:A156"/>
    <mergeCell ref="A157:A161"/>
    <mergeCell ref="A192:A196"/>
    <mergeCell ref="A201:A205"/>
    <mergeCell ref="B201:B204"/>
    <mergeCell ref="C201:C204"/>
    <mergeCell ref="C197:C199"/>
    <mergeCell ref="B197:B199"/>
    <mergeCell ref="A197:A200"/>
    <mergeCell ref="B177:B180"/>
    <mergeCell ref="C177:C180"/>
    <mergeCell ref="B172:B175"/>
    <mergeCell ref="C172:C175"/>
    <mergeCell ref="C218:D218"/>
    <mergeCell ref="A182:A186"/>
    <mergeCell ref="C162:C165"/>
    <mergeCell ref="B192:B195"/>
    <mergeCell ref="C192:C195"/>
    <mergeCell ref="A147:A151"/>
    <mergeCell ref="A162:A166"/>
    <mergeCell ref="A167:A171"/>
    <mergeCell ref="A172:A176"/>
    <mergeCell ref="A177:A181"/>
    <mergeCell ref="A187:A191"/>
    <mergeCell ref="B157:B160"/>
    <mergeCell ref="C157:C160"/>
    <mergeCell ref="B167:B170"/>
    <mergeCell ref="C167:C170"/>
    <mergeCell ref="B147:B150"/>
    <mergeCell ref="C147:C150"/>
    <mergeCell ref="B152:B155"/>
    <mergeCell ref="C152:C155"/>
    <mergeCell ref="B162:B165"/>
    <mergeCell ref="B187:B190"/>
    <mergeCell ref="C187:C190"/>
    <mergeCell ref="B182:B185"/>
    <mergeCell ref="C182:C185"/>
    <mergeCell ref="A122:A126"/>
    <mergeCell ref="A127:A131"/>
    <mergeCell ref="A142:A146"/>
    <mergeCell ref="B122:B125"/>
    <mergeCell ref="C122:C125"/>
    <mergeCell ref="B132:B135"/>
    <mergeCell ref="C132:C135"/>
    <mergeCell ref="B127:B130"/>
    <mergeCell ref="C127:C130"/>
    <mergeCell ref="B142:B145"/>
    <mergeCell ref="C142:C145"/>
    <mergeCell ref="B137:B140"/>
    <mergeCell ref="C137:C140"/>
    <mergeCell ref="A132:A136"/>
    <mergeCell ref="A137:A141"/>
    <mergeCell ref="B117:B120"/>
    <mergeCell ref="C117:C120"/>
    <mergeCell ref="B112:B115"/>
    <mergeCell ref="C112:C115"/>
    <mergeCell ref="B97:B98"/>
    <mergeCell ref="A97:A99"/>
    <mergeCell ref="C97:C98"/>
    <mergeCell ref="C100:C101"/>
    <mergeCell ref="B100:B101"/>
    <mergeCell ref="A100:A102"/>
    <mergeCell ref="C103:C106"/>
    <mergeCell ref="A108:A111"/>
    <mergeCell ref="A103:A107"/>
    <mergeCell ref="A112:A116"/>
    <mergeCell ref="A117:A121"/>
    <mergeCell ref="D4:E4"/>
    <mergeCell ref="D5:E5"/>
    <mergeCell ref="C17:C19"/>
    <mergeCell ref="C33:C36"/>
    <mergeCell ref="B93:B95"/>
    <mergeCell ref="B103:B106"/>
    <mergeCell ref="B108:B110"/>
    <mergeCell ref="C108:C110"/>
    <mergeCell ref="C43:C47"/>
    <mergeCell ref="B12:B61"/>
    <mergeCell ref="C12:C15"/>
    <mergeCell ref="C58:C60"/>
    <mergeCell ref="A7:E7"/>
    <mergeCell ref="A82:A83"/>
    <mergeCell ref="A84:A86"/>
    <mergeCell ref="A93:A96"/>
    <mergeCell ref="C93:C95"/>
    <mergeCell ref="B84:B85"/>
    <mergeCell ref="C84:C85"/>
  </mergeCells>
  <conditionalFormatting sqref="E10:E181">
    <cfRule type="cellIs" dxfId="13" priority="3" stopIfTrue="1" operator="equal">
      <formula>0</formula>
    </cfRule>
  </conditionalFormatting>
  <conditionalFormatting sqref="E38 E114:E115 E154:E155">
    <cfRule type="cellIs" dxfId="12" priority="18" stopIfTrue="1" operator="equal">
      <formula>0</formula>
    </cfRule>
  </conditionalFormatting>
  <conditionalFormatting sqref="E54">
    <cfRule type="cellIs" dxfId="11" priority="17" stopIfTrue="1" operator="equal">
      <formula>0</formula>
    </cfRule>
  </conditionalFormatting>
  <conditionalFormatting sqref="E63:E64">
    <cfRule type="cellIs" dxfId="10" priority="4" stopIfTrue="1" operator="equal">
      <formula>0</formula>
    </cfRule>
  </conditionalFormatting>
  <conditionalFormatting sqref="E66 E68 E70 E72 E74 E76 E78 E80 E82 E84:E85 E87 E90 E93 E95 E97:E98 E100:E101 E103 E105:E106 E122 E124:E125 E127:E128 E132 E134:E135 E137 E139:E140 E142 E144:E145 E147 E149:E150 E152 E157:E158 E162:E165 E167 E169:E170 E172 E174:E175 E177:E178 E187:E190 E192:E193 E197:E199 E201:E204 E10 E12:E15 E223:E235">
    <cfRule type="cellIs" dxfId="9" priority="24" stopIfTrue="1" operator="equal">
      <formula>0</formula>
    </cfRule>
  </conditionalFormatting>
  <conditionalFormatting sqref="E108 E110">
    <cfRule type="cellIs" dxfId="8" priority="12" stopIfTrue="1" operator="equal">
      <formula>0</formula>
    </cfRule>
  </conditionalFormatting>
  <conditionalFormatting sqref="E112">
    <cfRule type="cellIs" dxfId="7" priority="10" stopIfTrue="1" operator="equal">
      <formula>0</formula>
    </cfRule>
  </conditionalFormatting>
  <conditionalFormatting sqref="E117 E119:E120">
    <cfRule type="cellIs" dxfId="6" priority="8" stopIfTrue="1" operator="equal">
      <formula>0</formula>
    </cfRule>
  </conditionalFormatting>
  <conditionalFormatting sqref="E182:E183">
    <cfRule type="cellIs" dxfId="5" priority="6" stopIfTrue="1" operator="equal">
      <formula>0</formula>
    </cfRule>
  </conditionalFormatting>
  <conditionalFormatting sqref="E182:E186">
    <cfRule type="cellIs" dxfId="4" priority="5" stopIfTrue="1" operator="equal">
      <formula>0</formula>
    </cfRule>
  </conditionalFormatting>
  <conditionalFormatting sqref="E187:E206">
    <cfRule type="cellIs" dxfId="3" priority="23" stopIfTrue="1" operator="equal">
      <formula>0</formula>
    </cfRule>
  </conditionalFormatting>
  <conditionalFormatting sqref="E206">
    <cfRule type="cellIs" dxfId="2" priority="20" stopIfTrue="1" operator="equal">
      <formula>0</formula>
    </cfRule>
  </conditionalFormatting>
  <conditionalFormatting sqref="E209:E220">
    <cfRule type="cellIs" dxfId="1" priority="15" stopIfTrue="1" operator="equal">
      <formula>0</formula>
    </cfRule>
  </conditionalFormatting>
  <conditionalFormatting sqref="E236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2025-04-04T06:45:20Z</cp:lastPrinted>
  <dcterms:created xsi:type="dcterms:W3CDTF">2008-12-14T21:40:51Z</dcterms:created>
  <dcterms:modified xsi:type="dcterms:W3CDTF">2025-06-12T10:31:28Z</dcterms:modified>
</cp:coreProperties>
</file>