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1"/>
  </bookViews>
  <sheets>
    <sheet name="1 priedas" sheetId="1" r:id="rId1"/>
    <sheet name="3 priedas" sheetId="2" r:id="rId2"/>
  </sheets>
  <calcPr calcId="145621"/>
</workbook>
</file>

<file path=xl/calcChain.xml><?xml version="1.0" encoding="utf-8"?>
<calcChain xmlns="http://schemas.openxmlformats.org/spreadsheetml/2006/main">
  <c r="F238" i="2" l="1"/>
  <c r="D38" i="1" l="1"/>
  <c r="E33" i="1"/>
  <c r="D29" i="1"/>
  <c r="C29" i="1"/>
  <c r="F185" i="2" l="1"/>
  <c r="F230" i="2" l="1"/>
  <c r="F217" i="2"/>
  <c r="F38" i="2"/>
  <c r="E216" i="2" l="1"/>
  <c r="F33" i="2"/>
  <c r="F216" i="2" s="1"/>
  <c r="F41" i="2"/>
  <c r="F218" i="2" s="1"/>
  <c r="F232" i="2" l="1"/>
  <c r="F235" i="2"/>
  <c r="F233" i="2"/>
  <c r="F227" i="2"/>
  <c r="F26" i="2" l="1"/>
  <c r="F50" i="2"/>
  <c r="F204" i="2"/>
  <c r="F56" i="2" l="1"/>
  <c r="F160" i="2"/>
  <c r="F119" i="2"/>
  <c r="F109" i="2"/>
  <c r="G108" i="2"/>
  <c r="D44" i="1"/>
  <c r="D45" i="1" s="1"/>
  <c r="D48" i="1" s="1"/>
  <c r="F220" i="2" l="1"/>
  <c r="F221" i="2"/>
  <c r="F224" i="2" s="1"/>
  <c r="F63" i="2"/>
  <c r="F210" i="2" s="1"/>
  <c r="F240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4" i="1"/>
  <c r="E46" i="1"/>
  <c r="E47" i="1"/>
  <c r="E11" i="1"/>
  <c r="G15" i="2" l="1"/>
  <c r="G16" i="2"/>
  <c r="G20" i="2"/>
  <c r="G23" i="2"/>
  <c r="G24" i="2"/>
  <c r="G25" i="2"/>
  <c r="G28" i="2"/>
  <c r="G29" i="2"/>
  <c r="G30" i="2"/>
  <c r="G32" i="2"/>
  <c r="G37" i="2"/>
  <c r="G39" i="2"/>
  <c r="G40" i="2"/>
  <c r="G42" i="2"/>
  <c r="G48" i="2"/>
  <c r="G52" i="2"/>
  <c r="G54" i="2"/>
  <c r="G57" i="2"/>
  <c r="G59" i="2"/>
  <c r="G60" i="2"/>
  <c r="G61" i="2"/>
  <c r="G65" i="2"/>
  <c r="G67" i="2"/>
  <c r="G69" i="2"/>
  <c r="G71" i="2"/>
  <c r="G73" i="2"/>
  <c r="G75" i="2"/>
  <c r="G77" i="2"/>
  <c r="G79" i="2"/>
  <c r="G81" i="2"/>
  <c r="G83" i="2"/>
  <c r="G85" i="2"/>
  <c r="G86" i="2"/>
  <c r="G96" i="2"/>
  <c r="G106" i="2"/>
  <c r="G107" i="2"/>
  <c r="G117" i="2"/>
  <c r="G118" i="2"/>
  <c r="G123" i="2"/>
  <c r="G128" i="2"/>
  <c r="G133" i="2"/>
  <c r="G138" i="2"/>
  <c r="G143" i="2"/>
  <c r="G148" i="2"/>
  <c r="G153" i="2"/>
  <c r="G158" i="2"/>
  <c r="G159" i="2"/>
  <c r="G164" i="2"/>
  <c r="G169" i="2"/>
  <c r="G174" i="2"/>
  <c r="G179" i="2"/>
  <c r="G184" i="2"/>
  <c r="G189" i="2"/>
  <c r="G194" i="2"/>
  <c r="G199" i="2"/>
  <c r="G11" i="2" l="1"/>
  <c r="E239" i="2" l="1"/>
  <c r="G239" i="2" s="1"/>
  <c r="E236" i="2"/>
  <c r="G236" i="2" s="1"/>
  <c r="E234" i="2"/>
  <c r="G234" i="2" s="1"/>
  <c r="E230" i="2"/>
  <c r="G230" i="2" s="1"/>
  <c r="E208" i="2"/>
  <c r="G208" i="2" s="1"/>
  <c r="E207" i="2"/>
  <c r="E206" i="2"/>
  <c r="G206" i="2" s="1"/>
  <c r="E205" i="2"/>
  <c r="E203" i="2"/>
  <c r="G203" i="2" s="1"/>
  <c r="E202" i="2"/>
  <c r="E201" i="2"/>
  <c r="G201" i="2" s="1"/>
  <c r="E198" i="2"/>
  <c r="G198" i="2" s="1"/>
  <c r="E197" i="2"/>
  <c r="E196" i="2"/>
  <c r="G196" i="2" s="1"/>
  <c r="E193" i="2"/>
  <c r="G193" i="2" s="1"/>
  <c r="E192" i="2"/>
  <c r="E191" i="2"/>
  <c r="G191" i="2" s="1"/>
  <c r="E188" i="2"/>
  <c r="G188" i="2" s="1"/>
  <c r="E187" i="2"/>
  <c r="E186" i="2"/>
  <c r="G186" i="2" s="1"/>
  <c r="E183" i="2"/>
  <c r="G183" i="2" s="1"/>
  <c r="E182" i="2"/>
  <c r="E181" i="2"/>
  <c r="G181" i="2" s="1"/>
  <c r="E178" i="2"/>
  <c r="G178" i="2" s="1"/>
  <c r="E177" i="2"/>
  <c r="E176" i="2"/>
  <c r="G176" i="2" s="1"/>
  <c r="E173" i="2"/>
  <c r="G173" i="2" s="1"/>
  <c r="E172" i="2"/>
  <c r="E171" i="2"/>
  <c r="G171" i="2" s="1"/>
  <c r="E168" i="2"/>
  <c r="G168" i="2" s="1"/>
  <c r="E167" i="2"/>
  <c r="E166" i="2"/>
  <c r="G166" i="2" s="1"/>
  <c r="E163" i="2"/>
  <c r="G163" i="2" s="1"/>
  <c r="E162" i="2"/>
  <c r="E161" i="2"/>
  <c r="G161" i="2" s="1"/>
  <c r="E157" i="2"/>
  <c r="G157" i="2" s="1"/>
  <c r="E156" i="2"/>
  <c r="E155" i="2"/>
  <c r="G155" i="2" s="1"/>
  <c r="E152" i="2"/>
  <c r="G152" i="2" s="1"/>
  <c r="E151" i="2"/>
  <c r="E150" i="2"/>
  <c r="G150" i="2" s="1"/>
  <c r="E147" i="2"/>
  <c r="G147" i="2" s="1"/>
  <c r="E146" i="2"/>
  <c r="E145" i="2"/>
  <c r="G145" i="2" s="1"/>
  <c r="E142" i="2"/>
  <c r="G142" i="2" s="1"/>
  <c r="E141" i="2"/>
  <c r="E140" i="2"/>
  <c r="G140" i="2" s="1"/>
  <c r="E137" i="2"/>
  <c r="G137" i="2" s="1"/>
  <c r="E136" i="2"/>
  <c r="E135" i="2"/>
  <c r="G135" i="2" s="1"/>
  <c r="E132" i="2"/>
  <c r="G132" i="2" s="1"/>
  <c r="E131" i="2"/>
  <c r="E130" i="2"/>
  <c r="G130" i="2" s="1"/>
  <c r="E127" i="2"/>
  <c r="G127" i="2" s="1"/>
  <c r="E126" i="2"/>
  <c r="E125" i="2"/>
  <c r="G125" i="2" s="1"/>
  <c r="E122" i="2"/>
  <c r="G122" i="2" s="1"/>
  <c r="E121" i="2"/>
  <c r="E120" i="2"/>
  <c r="G120" i="2" s="1"/>
  <c r="E116" i="2"/>
  <c r="G116" i="2" s="1"/>
  <c r="E115" i="2"/>
  <c r="E114" i="2"/>
  <c r="G114" i="2" s="1"/>
  <c r="E112" i="2"/>
  <c r="G112" i="2" s="1"/>
  <c r="E111" i="2"/>
  <c r="E110" i="2"/>
  <c r="G110" i="2" s="1"/>
  <c r="E105" i="2"/>
  <c r="G105" i="2" s="1"/>
  <c r="E104" i="2"/>
  <c r="E102" i="2"/>
  <c r="E101" i="2"/>
  <c r="G101" i="2" s="1"/>
  <c r="E99" i="2"/>
  <c r="G99" i="2" s="1"/>
  <c r="E98" i="2"/>
  <c r="G98" i="2" s="1"/>
  <c r="E95" i="2"/>
  <c r="G95" i="2" s="1"/>
  <c r="E94" i="2"/>
  <c r="G94" i="2" s="1"/>
  <c r="E92" i="2"/>
  <c r="G92" i="2" s="1"/>
  <c r="E91" i="2"/>
  <c r="E89" i="2"/>
  <c r="G89" i="2" s="1"/>
  <c r="E88" i="2"/>
  <c r="E87" i="2"/>
  <c r="G87" i="2" s="1"/>
  <c r="E84" i="2"/>
  <c r="G84" i="2" s="1"/>
  <c r="E82" i="2"/>
  <c r="G82" i="2" s="1"/>
  <c r="E80" i="2"/>
  <c r="G80" i="2" s="1"/>
  <c r="E78" i="2"/>
  <c r="G78" i="2" s="1"/>
  <c r="E76" i="2"/>
  <c r="G76" i="2" s="1"/>
  <c r="E74" i="2"/>
  <c r="G74" i="2" s="1"/>
  <c r="E72" i="2"/>
  <c r="G72" i="2" s="1"/>
  <c r="E70" i="2"/>
  <c r="G70" i="2" s="1"/>
  <c r="E68" i="2"/>
  <c r="G68" i="2" s="1"/>
  <c r="E64" i="2"/>
  <c r="E62" i="2"/>
  <c r="E58" i="2"/>
  <c r="E55" i="2"/>
  <c r="E53" i="2"/>
  <c r="G53" i="2" s="1"/>
  <c r="E51" i="2"/>
  <c r="G51" i="2" s="1"/>
  <c r="E49" i="2"/>
  <c r="G49" i="2" s="1"/>
  <c r="E47" i="2"/>
  <c r="E46" i="2"/>
  <c r="G46" i="2" s="1"/>
  <c r="E45" i="2"/>
  <c r="E44" i="2"/>
  <c r="E43" i="2"/>
  <c r="G43" i="2" s="1"/>
  <c r="E41" i="2"/>
  <c r="E36" i="2"/>
  <c r="E35" i="2"/>
  <c r="E34" i="2"/>
  <c r="G34" i="2" s="1"/>
  <c r="E31" i="2"/>
  <c r="E27" i="2"/>
  <c r="G27" i="2" s="1"/>
  <c r="E22" i="2"/>
  <c r="E19" i="2"/>
  <c r="G19" i="2" s="1"/>
  <c r="E18" i="2"/>
  <c r="G18" i="2" s="1"/>
  <c r="E14" i="2"/>
  <c r="E13" i="2"/>
  <c r="E12" i="2"/>
  <c r="E38" i="2" l="1"/>
  <c r="G36" i="2"/>
  <c r="E218" i="2"/>
  <c r="G218" i="2" s="1"/>
  <c r="G41" i="2"/>
  <c r="E66" i="2"/>
  <c r="G66" i="2" s="1"/>
  <c r="G64" i="2"/>
  <c r="E100" i="2"/>
  <c r="G100" i="2" s="1"/>
  <c r="E144" i="2"/>
  <c r="G144" i="2" s="1"/>
  <c r="G141" i="2"/>
  <c r="E165" i="2"/>
  <c r="G165" i="2" s="1"/>
  <c r="G162" i="2"/>
  <c r="E229" i="2"/>
  <c r="G229" i="2" s="1"/>
  <c r="G207" i="2"/>
  <c r="E227" i="2"/>
  <c r="G227" i="2" s="1"/>
  <c r="G13" i="2"/>
  <c r="E232" i="2"/>
  <c r="G232" i="2" s="1"/>
  <c r="G47" i="2"/>
  <c r="E93" i="2"/>
  <c r="G93" i="2" s="1"/>
  <c r="G91" i="2"/>
  <c r="E228" i="2"/>
  <c r="G228" i="2" s="1"/>
  <c r="G14" i="2"/>
  <c r="E26" i="2"/>
  <c r="G22" i="2"/>
  <c r="E237" i="2"/>
  <c r="G237" i="2" s="1"/>
  <c r="G35" i="2"/>
  <c r="E50" i="2"/>
  <c r="G50" i="2" s="1"/>
  <c r="G44" i="2"/>
  <c r="E222" i="2"/>
  <c r="G222" i="2" s="1"/>
  <c r="G58" i="2"/>
  <c r="E103" i="2"/>
  <c r="G103" i="2" s="1"/>
  <c r="G102" i="2"/>
  <c r="E113" i="2"/>
  <c r="G113" i="2" s="1"/>
  <c r="G111" i="2"/>
  <c r="E134" i="2"/>
  <c r="G134" i="2" s="1"/>
  <c r="G131" i="2"/>
  <c r="E154" i="2"/>
  <c r="G154" i="2" s="1"/>
  <c r="G151" i="2"/>
  <c r="E175" i="2"/>
  <c r="G175" i="2" s="1"/>
  <c r="G172" i="2"/>
  <c r="E195" i="2"/>
  <c r="G195" i="2" s="1"/>
  <c r="G192" i="2"/>
  <c r="E209" i="2"/>
  <c r="G209" i="2" s="1"/>
  <c r="G205" i="2"/>
  <c r="E223" i="2"/>
  <c r="G223" i="2" s="1"/>
  <c r="G62" i="2"/>
  <c r="E90" i="2"/>
  <c r="G90" i="2" s="1"/>
  <c r="G88" i="2"/>
  <c r="E109" i="2"/>
  <c r="G109" i="2" s="1"/>
  <c r="G104" i="2"/>
  <c r="E129" i="2"/>
  <c r="G129" i="2" s="1"/>
  <c r="G126" i="2"/>
  <c r="E149" i="2"/>
  <c r="G149" i="2" s="1"/>
  <c r="G146" i="2"/>
  <c r="E170" i="2"/>
  <c r="G170" i="2" s="1"/>
  <c r="G167" i="2"/>
  <c r="E190" i="2"/>
  <c r="G190" i="2" s="1"/>
  <c r="G187" i="2"/>
  <c r="E231" i="2"/>
  <c r="G231" i="2" s="1"/>
  <c r="G45" i="2"/>
  <c r="E185" i="2"/>
  <c r="G185" i="2" s="1"/>
  <c r="G182" i="2"/>
  <c r="E204" i="2"/>
  <c r="G204" i="2" s="1"/>
  <c r="G202" i="2"/>
  <c r="G12" i="2"/>
  <c r="E233" i="2"/>
  <c r="G233" i="2" s="1"/>
  <c r="G31" i="2"/>
  <c r="E124" i="2"/>
  <c r="G124" i="2" s="1"/>
  <c r="G121" i="2"/>
  <c r="E21" i="2"/>
  <c r="E56" i="2"/>
  <c r="G56" i="2" s="1"/>
  <c r="G55" i="2"/>
  <c r="E97" i="2"/>
  <c r="G97" i="2" s="1"/>
  <c r="E119" i="2"/>
  <c r="G119" i="2" s="1"/>
  <c r="G115" i="2"/>
  <c r="E139" i="2"/>
  <c r="G139" i="2" s="1"/>
  <c r="G136" i="2"/>
  <c r="E160" i="2"/>
  <c r="G160" i="2" s="1"/>
  <c r="G156" i="2"/>
  <c r="E180" i="2"/>
  <c r="G180" i="2" s="1"/>
  <c r="G177" i="2"/>
  <c r="E200" i="2"/>
  <c r="G200" i="2" s="1"/>
  <c r="G197" i="2"/>
  <c r="E17" i="2"/>
  <c r="E213" i="2" s="1"/>
  <c r="G213" i="2" s="1"/>
  <c r="E33" i="2"/>
  <c r="E238" i="2"/>
  <c r="G238" i="2" s="1"/>
  <c r="E235" i="2"/>
  <c r="E220" i="2" l="1"/>
  <c r="G220" i="2" s="1"/>
  <c r="E240" i="2"/>
  <c r="G240" i="2" s="1"/>
  <c r="G235" i="2"/>
  <c r="E215" i="2"/>
  <c r="G215" i="2" s="1"/>
  <c r="G26" i="2"/>
  <c r="E221" i="2"/>
  <c r="G221" i="2" s="1"/>
  <c r="G216" i="2"/>
  <c r="G33" i="2"/>
  <c r="E219" i="2"/>
  <c r="G219" i="2" s="1"/>
  <c r="E63" i="2"/>
  <c r="G17" i="2"/>
  <c r="E214" i="2"/>
  <c r="G214" i="2" s="1"/>
  <c r="G21" i="2"/>
  <c r="E217" i="2"/>
  <c r="G217" i="2" s="1"/>
  <c r="G38" i="2"/>
  <c r="E224" i="2" l="1"/>
  <c r="G224" i="2" s="1"/>
  <c r="E210" i="2"/>
  <c r="G210" i="2" s="1"/>
  <c r="G63" i="2"/>
  <c r="C44" i="1"/>
  <c r="C40" i="1"/>
  <c r="C35" i="1"/>
  <c r="C2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<sst xmlns="http://schemas.openxmlformats.org/spreadsheetml/2006/main" count="490" uniqueCount="227">
  <si>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</si>
  <si>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</si>
  <si>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</si>
  <si>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</si>
  <si>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</si>
  <si>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</si>
  <si>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</si>
  <si>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</si>
  <si>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</si>
  <si>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</si>
  <si>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</si>
  <si>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</si>
  <si>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</si>
  <si>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</si>
  <si>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</si>
  <si>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</si>
  <si>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</si>
  <si>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</si>
  <si>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</si>
  <si>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</si>
  <si>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</si>
  <si>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</si>
  <si>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</si>
  <si>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</si>
  <si>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</si>
  <si>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</si>
  <si>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</si>
  <si>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</si>
  <si>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</si>
  <si>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</si>
  <si>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</si>
  <si>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</si>
  <si>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</si>
  <si>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</si>
  <si>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</si>
  <si>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</si>
  <si>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</si>
  <si>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</si>
  <si>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</si>
  <si>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</si>
  <si>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</si>
  <si>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</si>
  <si>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</si>
  <si>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</si>
  <si>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</si>
  <si>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</si>
  <si>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</si>
  <si>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</si>
  <si>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</si>
  <si>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</si>
  <si>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</si>
  <si>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</si>
  <si>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</si>
  <si>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</si>
  <si>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</si>
  <si>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</si>
  <si>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</si>
  <si>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</si>
  <si>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</si>
  <si>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</si>
  <si>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</si>
  <si>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</si>
  <si>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</si>
  <si>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</si>
  <si>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</si>
  <si>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</si>
  <si>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</si>
  <si>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</si>
  <si>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</si>
  <si>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</si>
  <si>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</si>
  <si>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</si>
  <si>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</si>
  <si>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</si>
  <si>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</si>
  <si>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</si>
  <si>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</si>
  <si>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</si>
  <si>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</si>
  <si>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</si>
  <si>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</si>
  <si>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</si>
  <si>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</si>
  <si>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</si>
  <si>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</si>
  <si>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</si>
  <si>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</si>
  <si>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</si>
  <si>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</si>
  <si>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</si>
  <si>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</si>
  <si>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</si>
  <si>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</si>
  <si>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</si>
  <si>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</si>
  <si>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</si>
  <si>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</si>
  <si>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</si>
  <si>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</si>
  <si>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</si>
  <si>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</si>
  <si>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</si>
  <si>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</si>
  <si>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</si>
  <si>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</si>
  <si>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</si>
  <si>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</si>
  <si>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</si>
  <si>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</si>
  <si>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</si>
  <si>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</si>
  <si>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</si>
  <si>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</si>
  <si>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</si>
  <si>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</si>
  <si>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</si>
  <si>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</si>
  <si>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</si>
  <si>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</si>
  <si>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</si>
  <si>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</si>
  <si>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</si>
  <si>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</si>
  <si>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</si>
  <si>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</si>
  <si>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</si>
  <si>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</si>
  <si>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</si>
  <si>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</si>
  <si>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</si>
  <si>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</si>
  <si>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</si>
  <si>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</si>
  <si>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</si>
  <si>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</si>
  <si>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</si>
  <si>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</si>
  <si>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</si>
  <si>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</si>
  <si>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</si>
  <si>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</si>
  <si>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</si>
  <si>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</si>
  <si>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</si>
  <si>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</si>
  <si>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</si>
  <si>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</si>
  <si>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</si>
  <si>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</si>
  <si>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</si>
  <si>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</si>
  <si>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</si>
  <si>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</si>
  <si>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</si>
  <si>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</si>
  <si>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</si>
  <si>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</si>
  <si>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</si>
  <si>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</si>
  <si>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</si>
  <si>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</si>
  <si>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</si>
  <si>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</si>
  <si>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</si>
  <si>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</si>
  <si>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</si>
  <si>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</si>
  <si>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</si>
  <si>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</si>
  <si>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</si>
  <si>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</si>
  <si>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</si>
  <si>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</si>
  <si>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</si>
  <si>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</si>
  <si>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</si>
  <si>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</si>
  <si>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</si>
  <si>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</si>
  <si>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</si>
  <si>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</si>
  <si>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</si>
  <si>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</si>
  <si>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</si>
  <si>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</si>
  <si>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</si>
  <si>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</si>
  <si>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</si>
  <si>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</si>
  <si>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</si>
  <si>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</si>
  <si>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</si>
  <si>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</si>
  <si>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</si>
  <si>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</si>
  <si>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</si>
  <si>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</si>
  <si>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</si>
  <si>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</si>
  <si>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</si>
  <si>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</si>
  <si>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</si>
  <si>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</si>
  <si>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Valstybės biudžeto lėšos (administracijai)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</si>
  <si>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</si>
  <si>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</si>
  <si>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</si>
  <si>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</si>
  <si>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</si>
  <si>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</si>
  <si>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</si>
  <si>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</si>
  <si>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</si>
  <si>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</si>
  <si>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                         Kretingos rajono savivaldybės 2025 m. biudžeto pajamos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</si>
  <si>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</si>
  <si>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</si>
  <si>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</si>
  <si>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</si>
  <si>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</si>
  <si>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</si>
  <si>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2025 m. balandžio        d. sprendimo Nr. T2-      redakcija)</t>
  </si>
  <si>
    <t xml:space="preserve">                                                                  2025 m. vasario 20 d. sprendimu Nr. T2-34</t>
  </si>
  <si>
    <t xml:space="preserve">                                                                                2025 m. balandžio   d. sprendimo Nr. T2-  redakcija)</t>
  </si>
  <si>
    <t xml:space="preserve">                   Projekto lyginamasis variantas</t>
  </si>
  <si>
    <t xml:space="preserve">                                                           1 priedas</t>
  </si>
  <si>
    <t>8.4.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</si>
</sst>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/>
  </cellStyleXfs>
  <cellXfs count="171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12" fillId="0" borderId="46" xfId="0" applyNumberFormat="1" applyFont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3" fillId="0" borderId="0" xfId="0" applyFont="1"/>
    <xf numFmtId="3" fontId="0" fillId="0" borderId="0" xfId="0" applyNumberFormat="1"/>
    <xf numFmtId="0" fontId="2" fillId="0" borderId="24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 wrapText="1"/>
    </xf>
    <xf numFmtId="3" fontId="2" fillId="0" borderId="29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left" vertical="top" wrapText="1"/>
    </xf>
    <xf numFmtId="3" fontId="7" fillId="0" borderId="22" xfId="0" applyNumberFormat="1" applyFont="1" applyBorder="1" applyAlignment="1">
      <alignment horizontal="center" vertical="center" wrapText="1"/>
    </xf>
    <xf numFmtId="3" fontId="10" fillId="0" borderId="4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top" wrapText="1"/>
    </xf>
    <xf numFmtId="3" fontId="6" fillId="0" borderId="4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top" wrapText="1"/>
    </xf>
    <xf numFmtId="3" fontId="6" fillId="0" borderId="4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top" wrapText="1"/>
    </xf>
    <xf numFmtId="49" fontId="2" fillId="3" borderId="12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3" fontId="6" fillId="0" borderId="47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5" fillId="0" borderId="0" xfId="0" applyFont="1"/>
    <xf numFmtId="49" fontId="7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3" fontId="6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3" fontId="12" fillId="0" borderId="24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29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/>
    </xf>
    <xf numFmtId="0" fontId="5" fillId="0" borderId="24" xfId="0" quotePrefix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3">
    <cellStyle name="Įprastas" xfId="0" builtinId="0"/>
    <cellStyle name="Įprastas 2" xfId="2"/>
    <cellStyle name="Įvestis" xfId="1" builtinId="20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22" zoomScaleNormal="100" workbookViewId="0">
      <selection activeCell="J39" sqref="J39"/>
    </sheetView>
  </sheetViews>
  <sheetFormatPr defaultRowHeight="15" x14ac:dyDescent="0.25"/>
  <cols>
    <col min="2" max="2" width="50.42578125" customWidth="1"/>
    <col min="3" max="3" width="15.42578125" customWidth="1"/>
    <col min="4" max="4" width="11.7109375" customWidth="1"/>
    <col min="5" max="5" width="13" customWidth="1"/>
  </cols>
  <sheetData>
    <row r="1" spans="1:11" ht="18.75" customHeight="1" x14ac:dyDescent="0.25">
      <c r="A1" s="1"/>
      <c r="C1" s="124" t="s">
        <v>224</v>
      </c>
      <c r="D1" s="124"/>
      <c r="E1" s="124"/>
      <c r="F1" s="127"/>
      <c r="G1" s="127"/>
    </row>
    <row r="2" spans="1:11" ht="17.25" customHeight="1" x14ac:dyDescent="0.25">
      <c r="A2" s="1"/>
      <c r="B2" s="138" t="s">
        <v>217</v>
      </c>
      <c r="C2" s="138"/>
      <c r="D2" s="138"/>
      <c r="E2" s="138"/>
      <c r="F2" s="125"/>
      <c r="G2" s="125"/>
    </row>
    <row r="3" spans="1:11" x14ac:dyDescent="0.25">
      <c r="A3" s="1"/>
      <c r="B3" s="138" t="s">
        <v>222</v>
      </c>
      <c r="C3" s="138"/>
      <c r="D3" s="138"/>
      <c r="E3" s="138"/>
      <c r="F3" s="125"/>
      <c r="G3" s="125"/>
    </row>
    <row r="4" spans="1:11" x14ac:dyDescent="0.25">
      <c r="A4" s="1"/>
      <c r="B4" s="138" t="s">
        <v>218</v>
      </c>
      <c r="C4" s="138"/>
      <c r="D4" s="138"/>
      <c r="E4" s="138"/>
      <c r="F4" s="125"/>
      <c r="G4" s="125"/>
    </row>
    <row r="5" spans="1:11" x14ac:dyDescent="0.25">
      <c r="A5" s="1"/>
      <c r="B5" s="138" t="s">
        <v>223</v>
      </c>
      <c r="C5" s="138"/>
      <c r="D5" s="138"/>
      <c r="E5" s="138"/>
      <c r="F5" s="125"/>
      <c r="G5" s="125"/>
    </row>
    <row r="6" spans="1:11" x14ac:dyDescent="0.25">
      <c r="A6" s="1"/>
      <c r="B6" s="138" t="s">
        <v>225</v>
      </c>
      <c r="C6" s="138"/>
      <c r="D6" s="126"/>
      <c r="E6" s="126"/>
      <c r="F6" s="125"/>
      <c r="G6" s="125"/>
    </row>
    <row r="7" spans="1:11" x14ac:dyDescent="0.25">
      <c r="A7" s="3"/>
      <c r="B7" s="4"/>
      <c r="C7" s="5"/>
    </row>
    <row r="8" spans="1:11" ht="15.75" customHeight="1" x14ac:dyDescent="0.25">
      <c r="A8" s="139" t="s">
        <v>214</v>
      </c>
      <c r="B8" s="139"/>
      <c r="C8" s="139"/>
      <c r="D8" s="139"/>
    </row>
    <row r="9" spans="1:11" ht="19.5" thickBot="1" x14ac:dyDescent="0.35">
      <c r="A9" s="3"/>
      <c r="B9" s="6"/>
      <c r="C9" s="7"/>
      <c r="E9" s="65" t="s">
        <v>213</v>
      </c>
    </row>
    <row r="10" spans="1:11" ht="15.75" thickBot="1" x14ac:dyDescent="0.3">
      <c r="A10" s="121" t="s">
        <v>0</v>
      </c>
      <c r="B10" s="119" t="s">
        <v>1</v>
      </c>
      <c r="C10" s="119" t="s">
        <v>212</v>
      </c>
      <c r="D10" s="122" t="s">
        <v>210</v>
      </c>
      <c r="E10" s="123" t="s">
        <v>211</v>
      </c>
    </row>
    <row r="11" spans="1:11" x14ac:dyDescent="0.25">
      <c r="A11" s="111" t="s">
        <v>2</v>
      </c>
      <c r="B11" s="101" t="s">
        <v>3</v>
      </c>
      <c r="C11" s="102">
        <v>41059000</v>
      </c>
      <c r="D11" s="103"/>
      <c r="E11" s="112">
        <f>C11+D11</f>
        <v>41059000</v>
      </c>
    </row>
    <row r="12" spans="1:11" ht="30" x14ac:dyDescent="0.25">
      <c r="A12" s="113" t="s">
        <v>4</v>
      </c>
      <c r="B12" s="8" t="s">
        <v>5</v>
      </c>
      <c r="C12" s="85">
        <v>45000</v>
      </c>
      <c r="D12" s="89"/>
      <c r="E12" s="114">
        <f t="shared" ref="E12:E48" si="0">C12+D12</f>
        <v>45000</v>
      </c>
    </row>
    <row r="13" spans="1:11" x14ac:dyDescent="0.25">
      <c r="A13" s="113" t="s">
        <v>6</v>
      </c>
      <c r="B13" s="8" t="s">
        <v>7</v>
      </c>
      <c r="C13" s="85">
        <f>C14+C15+C16+C17</f>
        <v>2290000</v>
      </c>
      <c r="D13" s="89"/>
      <c r="E13" s="114">
        <f t="shared" si="0"/>
        <v>2290000</v>
      </c>
    </row>
    <row r="14" spans="1:11" x14ac:dyDescent="0.25">
      <c r="A14" s="113" t="s">
        <v>8</v>
      </c>
      <c r="B14" s="8" t="s">
        <v>9</v>
      </c>
      <c r="C14" s="85">
        <v>830000</v>
      </c>
      <c r="D14" s="89"/>
      <c r="E14" s="114">
        <f t="shared" si="0"/>
        <v>830000</v>
      </c>
    </row>
    <row r="15" spans="1:11" x14ac:dyDescent="0.25">
      <c r="A15" s="113" t="s">
        <v>10</v>
      </c>
      <c r="B15" s="8" t="s">
        <v>11</v>
      </c>
      <c r="C15" s="85">
        <v>10000</v>
      </c>
      <c r="D15" s="89"/>
      <c r="E15" s="114">
        <f t="shared" si="0"/>
        <v>10000</v>
      </c>
    </row>
    <row r="16" spans="1:11" x14ac:dyDescent="0.25">
      <c r="A16" s="113" t="s">
        <v>12</v>
      </c>
      <c r="B16" s="8" t="s">
        <v>13</v>
      </c>
      <c r="C16" s="85">
        <v>1300000</v>
      </c>
      <c r="D16" s="89"/>
      <c r="E16" s="114">
        <f t="shared" si="0"/>
        <v>1300000</v>
      </c>
      <c r="K16" s="120"/>
    </row>
    <row r="17" spans="1:5" x14ac:dyDescent="0.25">
      <c r="A17" s="113" t="s">
        <v>14</v>
      </c>
      <c r="B17" s="8" t="s">
        <v>15</v>
      </c>
      <c r="C17" s="85">
        <v>150000</v>
      </c>
      <c r="D17" s="89"/>
      <c r="E17" s="114">
        <f t="shared" si="0"/>
        <v>150000</v>
      </c>
    </row>
    <row r="18" spans="1:5" x14ac:dyDescent="0.25">
      <c r="A18" s="113" t="s">
        <v>16</v>
      </c>
      <c r="B18" s="8" t="s">
        <v>17</v>
      </c>
      <c r="C18" s="85">
        <f>C19+C20+C21</f>
        <v>110000</v>
      </c>
      <c r="D18" s="89"/>
      <c r="E18" s="114">
        <f t="shared" si="0"/>
        <v>110000</v>
      </c>
    </row>
    <row r="19" spans="1:5" x14ac:dyDescent="0.25">
      <c r="A19" s="113" t="s">
        <v>18</v>
      </c>
      <c r="B19" s="8" t="s">
        <v>19</v>
      </c>
      <c r="C19" s="85">
        <v>50000</v>
      </c>
      <c r="D19" s="89"/>
      <c r="E19" s="114">
        <f t="shared" si="0"/>
        <v>50000</v>
      </c>
    </row>
    <row r="20" spans="1:5" x14ac:dyDescent="0.25">
      <c r="A20" s="113" t="s">
        <v>20</v>
      </c>
      <c r="B20" s="8" t="s">
        <v>21</v>
      </c>
      <c r="C20" s="85">
        <v>40000</v>
      </c>
      <c r="D20" s="89"/>
      <c r="E20" s="114">
        <f t="shared" si="0"/>
        <v>40000</v>
      </c>
    </row>
    <row r="21" spans="1:5" x14ac:dyDescent="0.25">
      <c r="A21" s="113" t="s">
        <v>22</v>
      </c>
      <c r="B21" s="8" t="s">
        <v>23</v>
      </c>
      <c r="C21" s="85">
        <v>20000</v>
      </c>
      <c r="D21" s="89"/>
      <c r="E21" s="114">
        <f t="shared" si="0"/>
        <v>20000</v>
      </c>
    </row>
    <row r="22" spans="1:5" x14ac:dyDescent="0.25">
      <c r="A22" s="113" t="s">
        <v>24</v>
      </c>
      <c r="B22" s="8" t="s">
        <v>25</v>
      </c>
      <c r="C22" s="85">
        <f>C11+C12+C13+C18</f>
        <v>43504000</v>
      </c>
      <c r="D22" s="89"/>
      <c r="E22" s="114">
        <f t="shared" si="0"/>
        <v>43504000</v>
      </c>
    </row>
    <row r="23" spans="1:5" x14ac:dyDescent="0.25">
      <c r="A23" s="113" t="s">
        <v>26</v>
      </c>
      <c r="B23" s="8" t="s">
        <v>27</v>
      </c>
      <c r="C23" s="85">
        <v>2230000</v>
      </c>
      <c r="D23" s="89"/>
      <c r="E23" s="114">
        <f t="shared" si="0"/>
        <v>2230000</v>
      </c>
    </row>
    <row r="24" spans="1:5" x14ac:dyDescent="0.25">
      <c r="A24" s="115" t="s">
        <v>28</v>
      </c>
      <c r="B24" s="8" t="s">
        <v>29</v>
      </c>
      <c r="C24" s="85">
        <v>2200000</v>
      </c>
      <c r="D24" s="89"/>
      <c r="E24" s="114">
        <f t="shared" si="0"/>
        <v>2200000</v>
      </c>
    </row>
    <row r="25" spans="1:5" x14ac:dyDescent="0.25">
      <c r="A25" s="113" t="s">
        <v>30</v>
      </c>
      <c r="B25" s="8" t="s">
        <v>31</v>
      </c>
      <c r="C25" s="86">
        <f>C26+C27+C28</f>
        <v>2049000</v>
      </c>
      <c r="D25" s="89"/>
      <c r="E25" s="114">
        <f t="shared" si="0"/>
        <v>2049000</v>
      </c>
    </row>
    <row r="26" spans="1:5" ht="30" x14ac:dyDescent="0.25">
      <c r="A26" s="115" t="s">
        <v>32</v>
      </c>
      <c r="B26" s="8" t="s">
        <v>33</v>
      </c>
      <c r="C26" s="85">
        <v>218500</v>
      </c>
      <c r="D26" s="89"/>
      <c r="E26" s="114">
        <f t="shared" si="0"/>
        <v>218500</v>
      </c>
    </row>
    <row r="27" spans="1:5" ht="30" x14ac:dyDescent="0.25">
      <c r="A27" s="115" t="s">
        <v>34</v>
      </c>
      <c r="B27" s="8" t="s">
        <v>35</v>
      </c>
      <c r="C27" s="85">
        <v>751000</v>
      </c>
      <c r="D27" s="89"/>
      <c r="E27" s="114">
        <f t="shared" si="0"/>
        <v>751000</v>
      </c>
    </row>
    <row r="28" spans="1:5" x14ac:dyDescent="0.25">
      <c r="A28" s="115" t="s">
        <v>36</v>
      </c>
      <c r="B28" s="8" t="s">
        <v>37</v>
      </c>
      <c r="C28" s="85">
        <v>1079500</v>
      </c>
      <c r="D28" s="89"/>
      <c r="E28" s="114">
        <f t="shared" si="0"/>
        <v>1079500</v>
      </c>
    </row>
    <row r="29" spans="1:5" ht="30" x14ac:dyDescent="0.25">
      <c r="A29" s="113" t="s">
        <v>38</v>
      </c>
      <c r="B29" s="8" t="s">
        <v>39</v>
      </c>
      <c r="C29" s="85">
        <f>C30+C31+C32+C33</f>
        <v>152000</v>
      </c>
      <c r="D29" s="85">
        <f>D30+D31+D32+D33</f>
        <v>907</v>
      </c>
      <c r="E29" s="114">
        <f t="shared" si="0"/>
        <v>152907</v>
      </c>
    </row>
    <row r="30" spans="1:5" x14ac:dyDescent="0.25">
      <c r="A30" s="113" t="s">
        <v>40</v>
      </c>
      <c r="B30" s="8" t="s">
        <v>41</v>
      </c>
      <c r="C30" s="85">
        <v>92000</v>
      </c>
      <c r="D30" s="89"/>
      <c r="E30" s="114">
        <f t="shared" si="0"/>
        <v>92000</v>
      </c>
    </row>
    <row r="31" spans="1:5" x14ac:dyDescent="0.25">
      <c r="A31" s="113" t="s">
        <v>42</v>
      </c>
      <c r="B31" s="8" t="s">
        <v>43</v>
      </c>
      <c r="C31" s="85">
        <v>30000</v>
      </c>
      <c r="D31" s="89"/>
      <c r="E31" s="114">
        <f t="shared" si="0"/>
        <v>30000</v>
      </c>
    </row>
    <row r="32" spans="1:5" x14ac:dyDescent="0.25">
      <c r="A32" s="113" t="s">
        <v>44</v>
      </c>
      <c r="B32" s="8" t="s">
        <v>45</v>
      </c>
      <c r="C32" s="85">
        <v>30000</v>
      </c>
      <c r="D32" s="89"/>
      <c r="E32" s="114">
        <f t="shared" si="0"/>
        <v>30000</v>
      </c>
    </row>
    <row r="33" spans="1:12" x14ac:dyDescent="0.25">
      <c r="A33" s="113" t="s">
        <v>226</v>
      </c>
      <c r="B33" s="8" t="s">
        <v>23</v>
      </c>
      <c r="C33" s="85"/>
      <c r="D33" s="89">
        <v>907</v>
      </c>
      <c r="E33" s="114">
        <f t="shared" si="0"/>
        <v>907</v>
      </c>
    </row>
    <row r="34" spans="1:12" x14ac:dyDescent="0.25">
      <c r="A34" s="113" t="s">
        <v>46</v>
      </c>
      <c r="B34" s="8" t="s">
        <v>47</v>
      </c>
      <c r="C34" s="85">
        <v>79000</v>
      </c>
      <c r="D34" s="89"/>
      <c r="E34" s="114">
        <f t="shared" si="0"/>
        <v>79000</v>
      </c>
    </row>
    <row r="35" spans="1:12" ht="30" x14ac:dyDescent="0.25">
      <c r="A35" s="113" t="s">
        <v>48</v>
      </c>
      <c r="B35" s="8" t="s">
        <v>49</v>
      </c>
      <c r="C35" s="85">
        <f>C36+C37</f>
        <v>226000</v>
      </c>
      <c r="D35" s="89"/>
      <c r="E35" s="114">
        <f t="shared" si="0"/>
        <v>226000</v>
      </c>
    </row>
    <row r="36" spans="1:12" x14ac:dyDescent="0.25">
      <c r="A36" s="113" t="s">
        <v>50</v>
      </c>
      <c r="B36" s="8" t="s">
        <v>51</v>
      </c>
      <c r="C36" s="85">
        <v>126000</v>
      </c>
      <c r="D36" s="89"/>
      <c r="E36" s="114">
        <f t="shared" si="0"/>
        <v>126000</v>
      </c>
    </row>
    <row r="37" spans="1:12" x14ac:dyDescent="0.25">
      <c r="A37" s="113" t="s">
        <v>52</v>
      </c>
      <c r="B37" s="8" t="s">
        <v>53</v>
      </c>
      <c r="C37" s="85">
        <v>100000</v>
      </c>
      <c r="D37" s="89"/>
      <c r="E37" s="114">
        <f t="shared" si="0"/>
        <v>100000</v>
      </c>
    </row>
    <row r="38" spans="1:12" ht="30" x14ac:dyDescent="0.25">
      <c r="A38" s="113" t="s">
        <v>54</v>
      </c>
      <c r="B38" s="8" t="s">
        <v>55</v>
      </c>
      <c r="C38" s="86">
        <f>C22+C23+C25+C29+C34+C35</f>
        <v>48240000</v>
      </c>
      <c r="D38" s="86">
        <f>D22+D23+D25+D29+D34+D35</f>
        <v>907</v>
      </c>
      <c r="E38" s="114">
        <f t="shared" si="0"/>
        <v>48240907</v>
      </c>
    </row>
    <row r="39" spans="1:12" ht="30" x14ac:dyDescent="0.25">
      <c r="A39" s="113" t="s">
        <v>56</v>
      </c>
      <c r="B39" s="8" t="s">
        <v>57</v>
      </c>
      <c r="C39" s="87">
        <v>4938197</v>
      </c>
      <c r="D39" s="89"/>
      <c r="E39" s="114">
        <f t="shared" si="0"/>
        <v>4938197</v>
      </c>
    </row>
    <row r="40" spans="1:12" x14ac:dyDescent="0.25">
      <c r="A40" s="113" t="s">
        <v>58</v>
      </c>
      <c r="B40" s="8" t="s">
        <v>59</v>
      </c>
      <c r="C40" s="88">
        <f>20897500+80100</f>
        <v>20977600</v>
      </c>
      <c r="D40" s="89"/>
      <c r="E40" s="114">
        <f t="shared" si="0"/>
        <v>20977600</v>
      </c>
    </row>
    <row r="41" spans="1:12" ht="30" x14ac:dyDescent="0.25">
      <c r="A41" s="116" t="s">
        <v>60</v>
      </c>
      <c r="B41" s="9" t="s">
        <v>61</v>
      </c>
      <c r="C41" s="88">
        <v>2355827</v>
      </c>
      <c r="D41" s="128">
        <v>70894</v>
      </c>
      <c r="E41" s="114">
        <f t="shared" si="0"/>
        <v>2426721</v>
      </c>
      <c r="F41" s="129"/>
      <c r="G41" s="129"/>
      <c r="H41" s="129"/>
      <c r="I41" s="129"/>
      <c r="J41" s="129"/>
      <c r="K41" s="130"/>
      <c r="L41" s="130"/>
    </row>
    <row r="42" spans="1:12" x14ac:dyDescent="0.25">
      <c r="A42" s="113" t="s">
        <v>62</v>
      </c>
      <c r="B42" s="8" t="s">
        <v>63</v>
      </c>
      <c r="C42" s="86">
        <v>2068600</v>
      </c>
      <c r="D42" s="128">
        <v>322300</v>
      </c>
      <c r="E42" s="114">
        <f t="shared" si="0"/>
        <v>2390900</v>
      </c>
      <c r="F42" s="131"/>
      <c r="G42" s="131"/>
      <c r="H42" s="131"/>
      <c r="I42" s="131"/>
      <c r="J42" s="131"/>
      <c r="K42" s="131"/>
      <c r="L42" s="131"/>
    </row>
    <row r="43" spans="1:12" ht="45" x14ac:dyDescent="0.25">
      <c r="A43" s="113" t="s">
        <v>64</v>
      </c>
      <c r="B43" s="8" t="s">
        <v>65</v>
      </c>
      <c r="C43" s="86">
        <v>2772181</v>
      </c>
      <c r="D43" s="128">
        <v>308322</v>
      </c>
      <c r="E43" s="114">
        <f t="shared" si="0"/>
        <v>3080503</v>
      </c>
      <c r="F43" s="131"/>
      <c r="G43" s="131"/>
      <c r="H43" s="131"/>
      <c r="I43" s="131"/>
      <c r="J43" s="132"/>
      <c r="K43" s="131"/>
      <c r="L43" s="131"/>
    </row>
    <row r="44" spans="1:12" x14ac:dyDescent="0.25">
      <c r="A44" s="113" t="s">
        <v>66</v>
      </c>
      <c r="B44" s="8" t="s">
        <v>67</v>
      </c>
      <c r="C44" s="85">
        <f>C39+C40+C41+C42+C43</f>
        <v>33112405</v>
      </c>
      <c r="D44" s="85">
        <f>D39+D40+D41+D42+D43</f>
        <v>701516</v>
      </c>
      <c r="E44" s="114">
        <f t="shared" si="0"/>
        <v>33813921</v>
      </c>
    </row>
    <row r="45" spans="1:12" x14ac:dyDescent="0.25">
      <c r="A45" s="113" t="s">
        <v>68</v>
      </c>
      <c r="B45" s="8" t="s">
        <v>69</v>
      </c>
      <c r="C45" s="86">
        <f>C38+C44</f>
        <v>81352405</v>
      </c>
      <c r="D45" s="86">
        <f>D38+D44</f>
        <v>702423</v>
      </c>
      <c r="E45" s="114">
        <f t="shared" si="0"/>
        <v>82054828</v>
      </c>
    </row>
    <row r="46" spans="1:12" x14ac:dyDescent="0.25">
      <c r="A46" s="113" t="s">
        <v>70</v>
      </c>
      <c r="B46" s="8" t="s">
        <v>71</v>
      </c>
      <c r="C46" s="85">
        <v>1760000</v>
      </c>
      <c r="D46" s="89"/>
      <c r="E46" s="114">
        <f t="shared" si="0"/>
        <v>1760000</v>
      </c>
    </row>
    <row r="47" spans="1:12" ht="15.75" thickBot="1" x14ac:dyDescent="0.3">
      <c r="A47" s="117" t="s">
        <v>72</v>
      </c>
      <c r="B47" s="104" t="s">
        <v>73</v>
      </c>
      <c r="C47" s="105">
        <v>4756888</v>
      </c>
      <c r="D47" s="106"/>
      <c r="E47" s="118">
        <f t="shared" si="0"/>
        <v>4756888</v>
      </c>
    </row>
    <row r="48" spans="1:12" ht="15.75" thickBot="1" x14ac:dyDescent="0.3">
      <c r="A48" s="107" t="s">
        <v>74</v>
      </c>
      <c r="B48" s="108" t="s">
        <v>75</v>
      </c>
      <c r="C48" s="109">
        <f>C45+C46+C47</f>
        <v>87869293</v>
      </c>
      <c r="D48" s="109">
        <f>D45+D46+D47</f>
        <v>702423</v>
      </c>
      <c r="E48" s="110">
        <f t="shared" si="0"/>
        <v>88571716</v>
      </c>
    </row>
    <row r="51" spans="2:2" x14ac:dyDescent="0.25">
      <c r="B51" s="99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topLeftCell="A22" zoomScaleNormal="100" workbookViewId="0">
      <selection activeCell="F218" sqref="F218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10"/>
      <c r="C1" s="124" t="s">
        <v>216</v>
      </c>
      <c r="D1" s="124"/>
      <c r="E1" s="124"/>
      <c r="F1" s="127"/>
      <c r="G1" s="127"/>
    </row>
    <row r="2" spans="1:7" ht="14.25" customHeight="1" x14ac:dyDescent="0.25">
      <c r="A2" s="10"/>
      <c r="B2" s="4" t="s">
        <v>217</v>
      </c>
      <c r="C2" s="5"/>
      <c r="D2" s="126"/>
      <c r="E2" s="126"/>
      <c r="F2" s="125"/>
      <c r="G2" s="125"/>
    </row>
    <row r="3" spans="1:7" ht="15.75" customHeight="1" x14ac:dyDescent="0.25">
      <c r="A3" s="10"/>
      <c r="B3" s="4" t="s">
        <v>220</v>
      </c>
      <c r="C3" s="5"/>
      <c r="D3" s="126"/>
      <c r="E3" s="126"/>
      <c r="F3" s="125"/>
      <c r="G3" s="125"/>
    </row>
    <row r="4" spans="1:7" ht="15.75" customHeight="1" x14ac:dyDescent="0.25">
      <c r="A4" s="10"/>
      <c r="B4" s="4" t="s">
        <v>218</v>
      </c>
      <c r="C4" s="5"/>
      <c r="D4" s="126"/>
      <c r="E4" s="126"/>
      <c r="F4" s="125"/>
      <c r="G4" s="125"/>
    </row>
    <row r="5" spans="1:7" ht="15.75" customHeight="1" x14ac:dyDescent="0.25">
      <c r="A5" s="10"/>
      <c r="B5" s="4" t="s">
        <v>221</v>
      </c>
      <c r="C5" s="5"/>
      <c r="D5" s="126"/>
      <c r="E5" s="126"/>
      <c r="F5" s="125"/>
      <c r="G5" s="125"/>
    </row>
    <row r="6" spans="1:7" ht="15.75" customHeight="1" x14ac:dyDescent="0.25">
      <c r="A6" s="10"/>
      <c r="B6" s="4" t="s">
        <v>219</v>
      </c>
      <c r="C6" s="5"/>
      <c r="D6" s="126"/>
      <c r="E6" s="126"/>
      <c r="F6" s="125"/>
      <c r="G6" s="125"/>
    </row>
    <row r="7" spans="1:7" ht="15.75" customHeight="1" x14ac:dyDescent="0.25">
      <c r="A7" s="10"/>
      <c r="B7" s="11"/>
      <c r="C7" s="11"/>
      <c r="D7" s="2"/>
      <c r="E7" s="2"/>
    </row>
    <row r="8" spans="1:7" ht="15.75" customHeight="1" x14ac:dyDescent="0.25">
      <c r="A8" s="169" t="s">
        <v>215</v>
      </c>
      <c r="B8" s="169"/>
      <c r="C8" s="169"/>
      <c r="D8" s="169"/>
      <c r="E8" s="169"/>
      <c r="F8" s="169"/>
      <c r="G8" s="169"/>
    </row>
    <row r="9" spans="1:7" ht="15.75" thickBot="1" x14ac:dyDescent="0.3">
      <c r="A9" s="10"/>
      <c r="B9" s="13"/>
      <c r="C9" s="13"/>
      <c r="D9" s="12"/>
      <c r="E9" s="11"/>
      <c r="G9" s="65" t="s">
        <v>213</v>
      </c>
    </row>
    <row r="10" spans="1:7" ht="24.75" thickBot="1" x14ac:dyDescent="0.3">
      <c r="A10" s="14" t="s">
        <v>0</v>
      </c>
      <c r="B10" s="68" t="s">
        <v>76</v>
      </c>
      <c r="C10" s="68" t="s">
        <v>77</v>
      </c>
      <c r="D10" s="68" t="s">
        <v>78</v>
      </c>
      <c r="E10" s="15" t="s">
        <v>212</v>
      </c>
      <c r="F10" s="90" t="s">
        <v>210</v>
      </c>
      <c r="G10" s="91" t="s">
        <v>211</v>
      </c>
    </row>
    <row r="11" spans="1:7" ht="36" x14ac:dyDescent="0.25">
      <c r="A11" s="159" t="s">
        <v>2</v>
      </c>
      <c r="B11" s="66" t="s">
        <v>79</v>
      </c>
      <c r="C11" s="67" t="s">
        <v>80</v>
      </c>
      <c r="D11" s="29" t="s">
        <v>81</v>
      </c>
      <c r="E11" s="52">
        <v>111110</v>
      </c>
      <c r="F11" s="75"/>
      <c r="G11" s="76">
        <f>E11+F11</f>
        <v>111110</v>
      </c>
    </row>
    <row r="12" spans="1:7" ht="24.75" thickBot="1" x14ac:dyDescent="0.3">
      <c r="A12" s="159"/>
      <c r="B12" s="18" t="s">
        <v>82</v>
      </c>
      <c r="C12" s="19"/>
      <c r="D12" s="20"/>
      <c r="E12" s="46">
        <f>SUBTOTAL(9,E11:E11)</f>
        <v>111110</v>
      </c>
      <c r="F12" s="77"/>
      <c r="G12" s="81">
        <f t="shared" ref="G12:G75" si="0">E12+F12</f>
        <v>111110</v>
      </c>
    </row>
    <row r="13" spans="1:7" x14ac:dyDescent="0.25">
      <c r="A13" s="164" t="s">
        <v>4</v>
      </c>
      <c r="B13" s="167" t="s">
        <v>83</v>
      </c>
      <c r="C13" s="167" t="s">
        <v>80</v>
      </c>
      <c r="D13" s="21" t="s">
        <v>81</v>
      </c>
      <c r="E13" s="47">
        <f>3719140+258740+327464+1957000+874300</f>
        <v>7136644</v>
      </c>
      <c r="F13" s="75"/>
      <c r="G13" s="76">
        <f t="shared" si="0"/>
        <v>7136644</v>
      </c>
    </row>
    <row r="14" spans="1:7" x14ac:dyDescent="0.25">
      <c r="A14" s="165"/>
      <c r="B14" s="168"/>
      <c r="C14" s="168"/>
      <c r="D14" s="22" t="s">
        <v>84</v>
      </c>
      <c r="E14" s="48">
        <f>19200+12500-1700</f>
        <v>30000</v>
      </c>
      <c r="F14" s="78"/>
      <c r="G14" s="76">
        <f t="shared" si="0"/>
        <v>30000</v>
      </c>
    </row>
    <row r="15" spans="1:7" x14ac:dyDescent="0.25">
      <c r="A15" s="165"/>
      <c r="B15" s="168"/>
      <c r="C15" s="168"/>
      <c r="D15" s="22" t="s">
        <v>85</v>
      </c>
      <c r="E15" s="48">
        <v>256159</v>
      </c>
      <c r="F15" s="78"/>
      <c r="G15" s="76">
        <f t="shared" si="0"/>
        <v>256159</v>
      </c>
    </row>
    <row r="16" spans="1:7" x14ac:dyDescent="0.25">
      <c r="A16" s="165"/>
      <c r="B16" s="168"/>
      <c r="C16" s="168"/>
      <c r="D16" s="22" t="s">
        <v>86</v>
      </c>
      <c r="E16" s="48">
        <v>62920</v>
      </c>
      <c r="F16" s="78"/>
      <c r="G16" s="76">
        <f t="shared" si="0"/>
        <v>62920</v>
      </c>
    </row>
    <row r="17" spans="1:7" x14ac:dyDescent="0.25">
      <c r="A17" s="165"/>
      <c r="B17" s="168"/>
      <c r="C17" s="23" t="s">
        <v>87</v>
      </c>
      <c r="D17" s="24"/>
      <c r="E17" s="49">
        <f>SUBTOTAL(9,E13:E16)</f>
        <v>7485723</v>
      </c>
      <c r="F17" s="78"/>
      <c r="G17" s="82">
        <f t="shared" si="0"/>
        <v>7485723</v>
      </c>
    </row>
    <row r="18" spans="1:7" x14ac:dyDescent="0.25">
      <c r="A18" s="165"/>
      <c r="B18" s="168"/>
      <c r="C18" s="170" t="s">
        <v>88</v>
      </c>
      <c r="D18" s="22" t="s">
        <v>81</v>
      </c>
      <c r="E18" s="48">
        <f>980000+200000+40000</f>
        <v>1220000</v>
      </c>
      <c r="F18" s="78"/>
      <c r="G18" s="76">
        <f t="shared" si="0"/>
        <v>1220000</v>
      </c>
    </row>
    <row r="19" spans="1:7" x14ac:dyDescent="0.25">
      <c r="A19" s="165"/>
      <c r="B19" s="168"/>
      <c r="C19" s="170"/>
      <c r="D19" s="22" t="s">
        <v>84</v>
      </c>
      <c r="E19" s="48">
        <f>49050+72000</f>
        <v>121050</v>
      </c>
      <c r="F19" s="78"/>
      <c r="G19" s="76">
        <f t="shared" si="0"/>
        <v>121050</v>
      </c>
    </row>
    <row r="20" spans="1:7" x14ac:dyDescent="0.25">
      <c r="A20" s="165"/>
      <c r="B20" s="168"/>
      <c r="C20" s="170"/>
      <c r="D20" s="22" t="s">
        <v>89</v>
      </c>
      <c r="E20" s="48">
        <v>300000</v>
      </c>
      <c r="F20" s="78"/>
      <c r="G20" s="76">
        <f t="shared" si="0"/>
        <v>300000</v>
      </c>
    </row>
    <row r="21" spans="1:7" x14ac:dyDescent="0.25">
      <c r="A21" s="165"/>
      <c r="B21" s="168"/>
      <c r="C21" s="23" t="s">
        <v>90</v>
      </c>
      <c r="D21" s="24"/>
      <c r="E21" s="49">
        <f>SUM(E18:E20)</f>
        <v>1641050</v>
      </c>
      <c r="F21" s="78"/>
      <c r="G21" s="82">
        <f t="shared" si="0"/>
        <v>1641050</v>
      </c>
    </row>
    <row r="22" spans="1:7" x14ac:dyDescent="0.25">
      <c r="A22" s="165"/>
      <c r="B22" s="168"/>
      <c r="C22" s="170" t="s">
        <v>91</v>
      </c>
      <c r="D22" s="22" t="s">
        <v>81</v>
      </c>
      <c r="E22" s="48">
        <f>86972+80000+60000</f>
        <v>226972</v>
      </c>
      <c r="F22" s="78"/>
      <c r="G22" s="76">
        <f t="shared" si="0"/>
        <v>226972</v>
      </c>
    </row>
    <row r="23" spans="1:7" x14ac:dyDescent="0.25">
      <c r="A23" s="165"/>
      <c r="B23" s="168"/>
      <c r="C23" s="168"/>
      <c r="D23" s="22" t="s">
        <v>85</v>
      </c>
      <c r="E23" s="48">
        <v>416800</v>
      </c>
      <c r="F23" s="78"/>
      <c r="G23" s="76">
        <f t="shared" si="0"/>
        <v>416800</v>
      </c>
    </row>
    <row r="24" spans="1:7" x14ac:dyDescent="0.25">
      <c r="A24" s="165"/>
      <c r="B24" s="168"/>
      <c r="C24" s="168"/>
      <c r="D24" s="22" t="s">
        <v>92</v>
      </c>
      <c r="E24" s="48">
        <v>21880</v>
      </c>
      <c r="F24" s="78"/>
      <c r="G24" s="76">
        <f t="shared" si="0"/>
        <v>21880</v>
      </c>
    </row>
    <row r="25" spans="1:7" x14ac:dyDescent="0.25">
      <c r="A25" s="165"/>
      <c r="B25" s="168"/>
      <c r="C25" s="168"/>
      <c r="D25" s="22" t="s">
        <v>93</v>
      </c>
      <c r="E25" s="48">
        <v>126830</v>
      </c>
      <c r="F25" s="78"/>
      <c r="G25" s="76">
        <f t="shared" si="0"/>
        <v>126830</v>
      </c>
    </row>
    <row r="26" spans="1:7" x14ac:dyDescent="0.25">
      <c r="A26" s="165"/>
      <c r="B26" s="168"/>
      <c r="C26" s="23" t="s">
        <v>94</v>
      </c>
      <c r="D26" s="24"/>
      <c r="E26" s="49">
        <f>SUBTOTAL(9,E22:E25)</f>
        <v>792482</v>
      </c>
      <c r="F26" s="49">
        <f>SUBTOTAL(9,F22:F25)</f>
        <v>0</v>
      </c>
      <c r="G26" s="82">
        <f t="shared" si="0"/>
        <v>792482</v>
      </c>
    </row>
    <row r="27" spans="1:7" x14ac:dyDescent="0.25">
      <c r="A27" s="165"/>
      <c r="B27" s="168"/>
      <c r="C27" s="170" t="s">
        <v>95</v>
      </c>
      <c r="D27" s="22" t="s">
        <v>81</v>
      </c>
      <c r="E27" s="48">
        <f>120400+4662295</f>
        <v>4782695</v>
      </c>
      <c r="F27" s="134">
        <v>-27320</v>
      </c>
      <c r="G27" s="76">
        <f t="shared" si="0"/>
        <v>4755375</v>
      </c>
    </row>
    <row r="28" spans="1:7" x14ac:dyDescent="0.25">
      <c r="A28" s="165"/>
      <c r="B28" s="168"/>
      <c r="C28" s="168"/>
      <c r="D28" s="22" t="s">
        <v>96</v>
      </c>
      <c r="E28" s="48">
        <v>1760000</v>
      </c>
      <c r="F28" s="78"/>
      <c r="G28" s="76">
        <f t="shared" si="0"/>
        <v>1760000</v>
      </c>
    </row>
    <row r="29" spans="1:7" x14ac:dyDescent="0.25">
      <c r="A29" s="165"/>
      <c r="B29" s="168"/>
      <c r="C29" s="168"/>
      <c r="D29" s="22" t="s">
        <v>97</v>
      </c>
      <c r="E29" s="48">
        <v>430000</v>
      </c>
      <c r="F29" s="78"/>
      <c r="G29" s="76">
        <f t="shared" si="0"/>
        <v>430000</v>
      </c>
    </row>
    <row r="30" spans="1:7" x14ac:dyDescent="0.25">
      <c r="A30" s="165"/>
      <c r="B30" s="168"/>
      <c r="C30" s="168"/>
      <c r="D30" s="22" t="s">
        <v>89</v>
      </c>
      <c r="E30" s="48">
        <v>175000</v>
      </c>
      <c r="F30" s="78"/>
      <c r="G30" s="76">
        <f t="shared" si="0"/>
        <v>175000</v>
      </c>
    </row>
    <row r="31" spans="1:7" x14ac:dyDescent="0.25">
      <c r="A31" s="165"/>
      <c r="B31" s="168"/>
      <c r="C31" s="168"/>
      <c r="D31" s="22" t="s">
        <v>92</v>
      </c>
      <c r="E31" s="48">
        <f>449891+65325</f>
        <v>515216</v>
      </c>
      <c r="F31" s="78"/>
      <c r="G31" s="76">
        <f t="shared" si="0"/>
        <v>515216</v>
      </c>
    </row>
    <row r="32" spans="1:7" x14ac:dyDescent="0.25">
      <c r="A32" s="165"/>
      <c r="B32" s="168"/>
      <c r="C32" s="168"/>
      <c r="D32" s="22" t="s">
        <v>93</v>
      </c>
      <c r="E32" s="48">
        <v>2139565</v>
      </c>
      <c r="F32" s="78"/>
      <c r="G32" s="76">
        <f t="shared" si="0"/>
        <v>2139565</v>
      </c>
    </row>
    <row r="33" spans="1:9" x14ac:dyDescent="0.25">
      <c r="A33" s="165"/>
      <c r="B33" s="168"/>
      <c r="C33" s="23" t="s">
        <v>98</v>
      </c>
      <c r="D33" s="24"/>
      <c r="E33" s="49">
        <f>SUBTOTAL(9,E27:E32)</f>
        <v>9802476</v>
      </c>
      <c r="F33" s="49">
        <f>SUBTOTAL(9,F27:F32)</f>
        <v>-27320</v>
      </c>
      <c r="G33" s="82">
        <f t="shared" si="0"/>
        <v>9775156</v>
      </c>
    </row>
    <row r="34" spans="1:9" x14ac:dyDescent="0.25">
      <c r="A34" s="165"/>
      <c r="B34" s="168"/>
      <c r="C34" s="170" t="s">
        <v>99</v>
      </c>
      <c r="D34" s="22" t="s">
        <v>81</v>
      </c>
      <c r="E34" s="48">
        <f>5998560+924740</f>
        <v>6923300</v>
      </c>
      <c r="F34" s="78"/>
      <c r="G34" s="76">
        <f t="shared" si="0"/>
        <v>6923300</v>
      </c>
    </row>
    <row r="35" spans="1:9" x14ac:dyDescent="0.25">
      <c r="A35" s="165"/>
      <c r="B35" s="168"/>
      <c r="C35" s="170"/>
      <c r="D35" s="22" t="s">
        <v>100</v>
      </c>
      <c r="E35" s="48">
        <f>139000+126000</f>
        <v>265000</v>
      </c>
      <c r="F35" s="78"/>
      <c r="G35" s="76">
        <f t="shared" si="0"/>
        <v>265000</v>
      </c>
    </row>
    <row r="36" spans="1:9" x14ac:dyDescent="0.25">
      <c r="A36" s="165"/>
      <c r="B36" s="168"/>
      <c r="C36" s="170"/>
      <c r="D36" s="22" t="s">
        <v>101</v>
      </c>
      <c r="E36" s="48">
        <f>81678+160227</f>
        <v>241905</v>
      </c>
      <c r="F36" s="78"/>
      <c r="G36" s="76">
        <f t="shared" si="0"/>
        <v>241905</v>
      </c>
    </row>
    <row r="37" spans="1:9" x14ac:dyDescent="0.25">
      <c r="A37" s="165"/>
      <c r="B37" s="168"/>
      <c r="C37" s="170"/>
      <c r="D37" s="22" t="s">
        <v>102</v>
      </c>
      <c r="E37" s="48">
        <v>2068600</v>
      </c>
      <c r="F37" s="134">
        <v>322300</v>
      </c>
      <c r="G37" s="76">
        <f t="shared" si="0"/>
        <v>2390900</v>
      </c>
    </row>
    <row r="38" spans="1:9" x14ac:dyDescent="0.25">
      <c r="A38" s="165"/>
      <c r="B38" s="168"/>
      <c r="C38" s="23" t="s">
        <v>103</v>
      </c>
      <c r="D38" s="24"/>
      <c r="E38" s="49">
        <f>SUBTOTAL(9,E34:E37)</f>
        <v>9498805</v>
      </c>
      <c r="F38" s="49">
        <f>SUBTOTAL(9,F34:F37)</f>
        <v>322300</v>
      </c>
      <c r="G38" s="82">
        <f t="shared" si="0"/>
        <v>9821105</v>
      </c>
    </row>
    <row r="39" spans="1:9" x14ac:dyDescent="0.25">
      <c r="A39" s="165"/>
      <c r="B39" s="168"/>
      <c r="C39" s="170" t="s">
        <v>104</v>
      </c>
      <c r="D39" s="22" t="s">
        <v>81</v>
      </c>
      <c r="E39" s="48">
        <v>220000</v>
      </c>
      <c r="F39" s="134">
        <v>27320</v>
      </c>
      <c r="G39" s="76">
        <f t="shared" si="0"/>
        <v>247320</v>
      </c>
    </row>
    <row r="40" spans="1:9" x14ac:dyDescent="0.25">
      <c r="A40" s="165"/>
      <c r="B40" s="168"/>
      <c r="C40" s="170"/>
      <c r="D40" s="22" t="s">
        <v>101</v>
      </c>
      <c r="E40" s="48">
        <v>31773</v>
      </c>
      <c r="F40" s="78">
        <v>907</v>
      </c>
      <c r="G40" s="76">
        <f t="shared" si="0"/>
        <v>32680</v>
      </c>
    </row>
    <row r="41" spans="1:9" x14ac:dyDescent="0.25">
      <c r="A41" s="165"/>
      <c r="B41" s="168"/>
      <c r="C41" s="23" t="s">
        <v>105</v>
      </c>
      <c r="D41" s="24"/>
      <c r="E41" s="49">
        <f>SUBTOTAL(9,E39:E40)</f>
        <v>251773</v>
      </c>
      <c r="F41" s="49">
        <f>SUBTOTAL(9,F39:F40)</f>
        <v>28227</v>
      </c>
      <c r="G41" s="82">
        <f t="shared" si="0"/>
        <v>280000</v>
      </c>
    </row>
    <row r="42" spans="1:9" x14ac:dyDescent="0.25">
      <c r="A42" s="165"/>
      <c r="B42" s="168"/>
      <c r="C42" s="71" t="s">
        <v>106</v>
      </c>
      <c r="D42" s="22" t="s">
        <v>81</v>
      </c>
      <c r="E42" s="48">
        <v>429000</v>
      </c>
      <c r="F42" s="78"/>
      <c r="G42" s="76">
        <f t="shared" si="0"/>
        <v>429000</v>
      </c>
    </row>
    <row r="43" spans="1:9" x14ac:dyDescent="0.25">
      <c r="A43" s="165"/>
      <c r="B43" s="168"/>
      <c r="C43" s="23" t="s">
        <v>107</v>
      </c>
      <c r="D43" s="24"/>
      <c r="E43" s="49">
        <f>SUBTOTAL(9,E42:E42)</f>
        <v>429000</v>
      </c>
      <c r="F43" s="78"/>
      <c r="G43" s="82">
        <f t="shared" si="0"/>
        <v>429000</v>
      </c>
    </row>
    <row r="44" spans="1:9" x14ac:dyDescent="0.25">
      <c r="A44" s="165"/>
      <c r="B44" s="168"/>
      <c r="C44" s="170" t="s">
        <v>108</v>
      </c>
      <c r="D44" s="22" t="s">
        <v>81</v>
      </c>
      <c r="E44" s="48">
        <f>150000+1214600+20000</f>
        <v>1384600</v>
      </c>
      <c r="F44" s="78"/>
      <c r="G44" s="76">
        <f t="shared" si="0"/>
        <v>1384600</v>
      </c>
    </row>
    <row r="45" spans="1:9" x14ac:dyDescent="0.25">
      <c r="A45" s="165"/>
      <c r="B45" s="168"/>
      <c r="C45" s="168"/>
      <c r="D45" s="22" t="s">
        <v>109</v>
      </c>
      <c r="E45" s="48">
        <f>382440+100000+192</f>
        <v>482632</v>
      </c>
      <c r="F45" s="78"/>
      <c r="G45" s="76">
        <f t="shared" si="0"/>
        <v>482632</v>
      </c>
    </row>
    <row r="46" spans="1:9" x14ac:dyDescent="0.25">
      <c r="A46" s="165"/>
      <c r="B46" s="168"/>
      <c r="C46" s="168"/>
      <c r="D46" s="22" t="s">
        <v>92</v>
      </c>
      <c r="E46" s="48">
        <f>30000+359463</f>
        <v>389463</v>
      </c>
      <c r="F46" s="134">
        <v>4000</v>
      </c>
      <c r="G46" s="76">
        <f t="shared" si="0"/>
        <v>393463</v>
      </c>
    </row>
    <row r="47" spans="1:9" x14ac:dyDescent="0.25">
      <c r="A47" s="165"/>
      <c r="B47" s="168"/>
      <c r="C47" s="168"/>
      <c r="D47" s="22" t="s">
        <v>110</v>
      </c>
      <c r="E47" s="48">
        <f>910062-119400-359463</f>
        <v>431199</v>
      </c>
      <c r="F47" s="134"/>
      <c r="G47" s="76">
        <f t="shared" si="0"/>
        <v>431199</v>
      </c>
    </row>
    <row r="48" spans="1:9" x14ac:dyDescent="0.25">
      <c r="A48" s="165"/>
      <c r="B48" s="168"/>
      <c r="C48" s="168"/>
      <c r="D48" s="22" t="s">
        <v>86</v>
      </c>
      <c r="E48" s="48">
        <v>346739</v>
      </c>
      <c r="F48" s="134">
        <v>350079</v>
      </c>
      <c r="G48" s="76">
        <f t="shared" si="0"/>
        <v>696818</v>
      </c>
      <c r="H48" s="99"/>
      <c r="I48" s="99"/>
    </row>
    <row r="49" spans="1:9" ht="24" x14ac:dyDescent="0.25">
      <c r="A49" s="165"/>
      <c r="B49" s="168"/>
      <c r="C49" s="71" t="s">
        <v>111</v>
      </c>
      <c r="D49" s="22" t="s">
        <v>109</v>
      </c>
      <c r="E49" s="50">
        <f>3029177.6</f>
        <v>3029177.6</v>
      </c>
      <c r="F49" s="78"/>
      <c r="G49" s="76">
        <f t="shared" si="0"/>
        <v>3029177.6</v>
      </c>
    </row>
    <row r="50" spans="1:9" x14ac:dyDescent="0.25">
      <c r="A50" s="165"/>
      <c r="B50" s="168"/>
      <c r="C50" s="23" t="s">
        <v>112</v>
      </c>
      <c r="D50" s="24"/>
      <c r="E50" s="49">
        <f>SUBTOTAL(9,E44:E49)</f>
        <v>6063810.5999999996</v>
      </c>
      <c r="F50" s="49">
        <f>SUBTOTAL(9,F44:F49)</f>
        <v>354079</v>
      </c>
      <c r="G50" s="82">
        <f t="shared" si="0"/>
        <v>6417889.5999999996</v>
      </c>
    </row>
    <row r="51" spans="1:9" x14ac:dyDescent="0.25">
      <c r="A51" s="165"/>
      <c r="B51" s="168"/>
      <c r="C51" s="170" t="s">
        <v>113</v>
      </c>
      <c r="D51" s="22" t="s">
        <v>81</v>
      </c>
      <c r="E51" s="48">
        <f>274344+3366000</f>
        <v>3640344</v>
      </c>
      <c r="F51" s="78"/>
      <c r="G51" s="76">
        <f t="shared" si="0"/>
        <v>3640344</v>
      </c>
    </row>
    <row r="52" spans="1:9" x14ac:dyDescent="0.25">
      <c r="A52" s="165"/>
      <c r="B52" s="168"/>
      <c r="C52" s="168"/>
      <c r="D52" s="22" t="s">
        <v>85</v>
      </c>
      <c r="E52" s="48">
        <v>2471600</v>
      </c>
      <c r="F52" s="78"/>
      <c r="G52" s="76">
        <f t="shared" si="0"/>
        <v>2471600</v>
      </c>
    </row>
    <row r="53" spans="1:9" x14ac:dyDescent="0.25">
      <c r="A53" s="165"/>
      <c r="B53" s="168"/>
      <c r="C53" s="168"/>
      <c r="D53" s="22" t="s">
        <v>92</v>
      </c>
      <c r="E53" s="48">
        <f>4550</f>
        <v>4550</v>
      </c>
      <c r="F53" s="134">
        <v>1600</v>
      </c>
      <c r="G53" s="76">
        <f t="shared" si="0"/>
        <v>6150</v>
      </c>
    </row>
    <row r="54" spans="1:9" x14ac:dyDescent="0.25">
      <c r="A54" s="165"/>
      <c r="B54" s="168"/>
      <c r="C54" s="168"/>
      <c r="D54" s="22" t="s">
        <v>110</v>
      </c>
      <c r="E54" s="48">
        <v>381399</v>
      </c>
      <c r="F54" s="134">
        <v>4185</v>
      </c>
      <c r="G54" s="76">
        <f t="shared" si="0"/>
        <v>385584</v>
      </c>
      <c r="H54" s="99"/>
      <c r="I54" s="99"/>
    </row>
    <row r="55" spans="1:9" x14ac:dyDescent="0.25">
      <c r="A55" s="165"/>
      <c r="B55" s="168"/>
      <c r="C55" s="168"/>
      <c r="D55" s="22" t="s">
        <v>86</v>
      </c>
      <c r="E55" s="48">
        <f>41770</f>
        <v>41770</v>
      </c>
      <c r="F55" s="134">
        <v>-1600</v>
      </c>
      <c r="G55" s="76">
        <f t="shared" si="0"/>
        <v>40170</v>
      </c>
    </row>
    <row r="56" spans="1:9" x14ac:dyDescent="0.25">
      <c r="A56" s="165"/>
      <c r="B56" s="168"/>
      <c r="C56" s="23" t="s">
        <v>114</v>
      </c>
      <c r="D56" s="24"/>
      <c r="E56" s="49">
        <f>SUBTOTAL(9,E51:E55)</f>
        <v>6539663</v>
      </c>
      <c r="F56" s="137">
        <f>F54</f>
        <v>4185</v>
      </c>
      <c r="G56" s="82">
        <f t="shared" si="0"/>
        <v>6543848</v>
      </c>
    </row>
    <row r="57" spans="1:9" ht="24" x14ac:dyDescent="0.25">
      <c r="A57" s="165"/>
      <c r="B57" s="168"/>
      <c r="C57" s="25" t="s">
        <v>115</v>
      </c>
      <c r="D57" s="22" t="s">
        <v>81</v>
      </c>
      <c r="E57" s="48">
        <v>871000</v>
      </c>
      <c r="F57" s="78"/>
      <c r="G57" s="76">
        <f t="shared" si="0"/>
        <v>871000</v>
      </c>
    </row>
    <row r="58" spans="1:9" x14ac:dyDescent="0.25">
      <c r="A58" s="165"/>
      <c r="B58" s="168"/>
      <c r="C58" s="23" t="s">
        <v>116</v>
      </c>
      <c r="D58" s="22"/>
      <c r="E58" s="49">
        <f>SUBTOTAL(9,E57:E57)</f>
        <v>871000</v>
      </c>
      <c r="F58" s="78"/>
      <c r="G58" s="82">
        <f t="shared" si="0"/>
        <v>871000</v>
      </c>
    </row>
    <row r="59" spans="1:9" x14ac:dyDescent="0.25">
      <c r="A59" s="165"/>
      <c r="B59" s="168"/>
      <c r="C59" s="170" t="s">
        <v>117</v>
      </c>
      <c r="D59" s="22" t="s">
        <v>81</v>
      </c>
      <c r="E59" s="48">
        <v>118000</v>
      </c>
      <c r="F59" s="78"/>
      <c r="G59" s="76">
        <f t="shared" si="0"/>
        <v>118000</v>
      </c>
    </row>
    <row r="60" spans="1:9" x14ac:dyDescent="0.25">
      <c r="A60" s="165"/>
      <c r="B60" s="168"/>
      <c r="C60" s="170"/>
      <c r="D60" s="22" t="s">
        <v>100</v>
      </c>
      <c r="E60" s="48">
        <v>62000</v>
      </c>
      <c r="F60" s="78"/>
      <c r="G60" s="76">
        <f t="shared" si="0"/>
        <v>62000</v>
      </c>
    </row>
    <row r="61" spans="1:9" x14ac:dyDescent="0.25">
      <c r="A61" s="165"/>
      <c r="B61" s="168"/>
      <c r="C61" s="170"/>
      <c r="D61" s="22" t="s">
        <v>85</v>
      </c>
      <c r="E61" s="48">
        <v>97088</v>
      </c>
      <c r="F61" s="78"/>
      <c r="G61" s="76">
        <f t="shared" si="0"/>
        <v>97088</v>
      </c>
    </row>
    <row r="62" spans="1:9" x14ac:dyDescent="0.25">
      <c r="A62" s="165"/>
      <c r="B62" s="168"/>
      <c r="C62" s="23" t="s">
        <v>118</v>
      </c>
      <c r="D62" s="24"/>
      <c r="E62" s="49">
        <f>SUBTOTAL(9,E59:E61)</f>
        <v>277088</v>
      </c>
      <c r="F62" s="78"/>
      <c r="G62" s="82">
        <f t="shared" si="0"/>
        <v>277088</v>
      </c>
    </row>
    <row r="63" spans="1:9" ht="24.75" thickBot="1" x14ac:dyDescent="0.3">
      <c r="A63" s="166"/>
      <c r="B63" s="26" t="s">
        <v>82</v>
      </c>
      <c r="C63" s="27"/>
      <c r="D63" s="28"/>
      <c r="E63" s="51">
        <f>E17+E21+E26+E33+E38+E41+E43+E50+E56+E58+E62</f>
        <v>43652870.600000001</v>
      </c>
      <c r="F63" s="51">
        <f>F17+F21+F26+F33+F38+F41+F43+F50+F56+F58+F62</f>
        <v>681471</v>
      </c>
      <c r="G63" s="81">
        <f t="shared" si="0"/>
        <v>44334341.600000001</v>
      </c>
      <c r="I63" s="100"/>
    </row>
    <row r="64" spans="1:9" x14ac:dyDescent="0.25">
      <c r="A64" s="159" t="s">
        <v>6</v>
      </c>
      <c r="B64" s="162" t="s">
        <v>119</v>
      </c>
      <c r="C64" s="162" t="s">
        <v>80</v>
      </c>
      <c r="D64" s="29" t="s">
        <v>81</v>
      </c>
      <c r="E64" s="52">
        <f>17429+12000</f>
        <v>29429</v>
      </c>
      <c r="F64" s="75"/>
      <c r="G64" s="76">
        <f t="shared" si="0"/>
        <v>29429</v>
      </c>
    </row>
    <row r="65" spans="1:7" x14ac:dyDescent="0.25">
      <c r="A65" s="159"/>
      <c r="B65" s="163"/>
      <c r="C65" s="163"/>
      <c r="D65" s="69" t="s">
        <v>85</v>
      </c>
      <c r="E65" s="53">
        <v>734600</v>
      </c>
      <c r="F65" s="78"/>
      <c r="G65" s="76">
        <f t="shared" si="0"/>
        <v>734600</v>
      </c>
    </row>
    <row r="66" spans="1:7" ht="24.75" thickBot="1" x14ac:dyDescent="0.3">
      <c r="A66" s="160"/>
      <c r="B66" s="30" t="s">
        <v>82</v>
      </c>
      <c r="C66" s="31"/>
      <c r="D66" s="32"/>
      <c r="E66" s="54">
        <f>SUBTOTAL(9,E64:E65)</f>
        <v>764029</v>
      </c>
      <c r="F66" s="77"/>
      <c r="G66" s="81">
        <f t="shared" si="0"/>
        <v>764029</v>
      </c>
    </row>
    <row r="67" spans="1:7" ht="36" x14ac:dyDescent="0.25">
      <c r="A67" s="158" t="s">
        <v>16</v>
      </c>
      <c r="B67" s="70" t="s">
        <v>120</v>
      </c>
      <c r="C67" s="33" t="s">
        <v>88</v>
      </c>
      <c r="D67" s="17" t="s">
        <v>81</v>
      </c>
      <c r="E67" s="45">
        <v>290432</v>
      </c>
      <c r="F67" s="75"/>
      <c r="G67" s="76">
        <f t="shared" si="0"/>
        <v>290432</v>
      </c>
    </row>
    <row r="68" spans="1:7" ht="24.75" thickBot="1" x14ac:dyDescent="0.3">
      <c r="A68" s="160"/>
      <c r="B68" s="30" t="s">
        <v>82</v>
      </c>
      <c r="C68" s="31"/>
      <c r="D68" s="32"/>
      <c r="E68" s="54">
        <f>SUBTOTAL(9,E67:E67)</f>
        <v>290432</v>
      </c>
      <c r="F68" s="77"/>
      <c r="G68" s="81">
        <f t="shared" si="0"/>
        <v>290432</v>
      </c>
    </row>
    <row r="69" spans="1:7" ht="36" x14ac:dyDescent="0.25">
      <c r="A69" s="158" t="s">
        <v>24</v>
      </c>
      <c r="B69" s="16" t="s">
        <v>121</v>
      </c>
      <c r="C69" s="33" t="s">
        <v>88</v>
      </c>
      <c r="D69" s="17" t="s">
        <v>81</v>
      </c>
      <c r="E69" s="45">
        <v>160480</v>
      </c>
      <c r="F69" s="75"/>
      <c r="G69" s="76">
        <f t="shared" si="0"/>
        <v>160480</v>
      </c>
    </row>
    <row r="70" spans="1:7" ht="24.75" thickBot="1" x14ac:dyDescent="0.3">
      <c r="A70" s="160"/>
      <c r="B70" s="30" t="s">
        <v>82</v>
      </c>
      <c r="C70" s="31"/>
      <c r="D70" s="32"/>
      <c r="E70" s="54">
        <f>SUBTOTAL(9,E69:E69)</f>
        <v>160480</v>
      </c>
      <c r="F70" s="77"/>
      <c r="G70" s="81">
        <f t="shared" si="0"/>
        <v>160480</v>
      </c>
    </row>
    <row r="71" spans="1:7" ht="36" x14ac:dyDescent="0.25">
      <c r="A71" s="158" t="s">
        <v>26</v>
      </c>
      <c r="B71" s="16" t="s">
        <v>122</v>
      </c>
      <c r="C71" s="33" t="s">
        <v>88</v>
      </c>
      <c r="D71" s="17" t="s">
        <v>81</v>
      </c>
      <c r="E71" s="45">
        <v>151950</v>
      </c>
      <c r="F71" s="75"/>
      <c r="G71" s="76">
        <f t="shared" si="0"/>
        <v>151950</v>
      </c>
    </row>
    <row r="72" spans="1:7" ht="24.75" thickBot="1" x14ac:dyDescent="0.3">
      <c r="A72" s="160"/>
      <c r="B72" s="30" t="s">
        <v>82</v>
      </c>
      <c r="C72" s="31"/>
      <c r="D72" s="32"/>
      <c r="E72" s="54">
        <f>SUBTOTAL(9,E71:E71)</f>
        <v>151950</v>
      </c>
      <c r="F72" s="77"/>
      <c r="G72" s="81">
        <f t="shared" si="0"/>
        <v>151950</v>
      </c>
    </row>
    <row r="73" spans="1:7" ht="48" x14ac:dyDescent="0.25">
      <c r="A73" s="158" t="s">
        <v>30</v>
      </c>
      <c r="B73" s="33" t="s">
        <v>123</v>
      </c>
      <c r="C73" s="33" t="s">
        <v>88</v>
      </c>
      <c r="D73" s="17" t="s">
        <v>81</v>
      </c>
      <c r="E73" s="45">
        <v>1561626</v>
      </c>
      <c r="F73" s="75"/>
      <c r="G73" s="76">
        <f t="shared" si="0"/>
        <v>1561626</v>
      </c>
    </row>
    <row r="74" spans="1:7" ht="24.75" thickBot="1" x14ac:dyDescent="0.3">
      <c r="A74" s="160"/>
      <c r="B74" s="30" t="s">
        <v>82</v>
      </c>
      <c r="C74" s="31"/>
      <c r="D74" s="32"/>
      <c r="E74" s="54">
        <f>SUBTOTAL(9,E73:E73)</f>
        <v>1561626</v>
      </c>
      <c r="F74" s="77"/>
      <c r="G74" s="81">
        <f t="shared" si="0"/>
        <v>1561626</v>
      </c>
    </row>
    <row r="75" spans="1:7" ht="36" x14ac:dyDescent="0.25">
      <c r="A75" s="158" t="s">
        <v>38</v>
      </c>
      <c r="B75" s="16" t="s">
        <v>124</v>
      </c>
      <c r="C75" s="33" t="s">
        <v>88</v>
      </c>
      <c r="D75" s="17" t="s">
        <v>81</v>
      </c>
      <c r="E75" s="45">
        <v>216128</v>
      </c>
      <c r="F75" s="75"/>
      <c r="G75" s="76">
        <f t="shared" si="0"/>
        <v>216128</v>
      </c>
    </row>
    <row r="76" spans="1:7" ht="24.75" thickBot="1" x14ac:dyDescent="0.3">
      <c r="A76" s="160"/>
      <c r="B76" s="30" t="s">
        <v>82</v>
      </c>
      <c r="C76" s="31"/>
      <c r="D76" s="32"/>
      <c r="E76" s="54">
        <f>SUBTOTAL(9,E75:E75)</f>
        <v>216128</v>
      </c>
      <c r="F76" s="77"/>
      <c r="G76" s="81">
        <f t="shared" ref="G76:G140" si="1">E76+F76</f>
        <v>216128</v>
      </c>
    </row>
    <row r="77" spans="1:7" ht="36" x14ac:dyDescent="0.25">
      <c r="A77" s="158" t="s">
        <v>46</v>
      </c>
      <c r="B77" s="16" t="s">
        <v>125</v>
      </c>
      <c r="C77" s="33" t="s">
        <v>88</v>
      </c>
      <c r="D77" s="17" t="s">
        <v>81</v>
      </c>
      <c r="E77" s="45">
        <v>139090</v>
      </c>
      <c r="F77" s="75"/>
      <c r="G77" s="76">
        <f t="shared" si="1"/>
        <v>139090</v>
      </c>
    </row>
    <row r="78" spans="1:7" ht="24.75" thickBot="1" x14ac:dyDescent="0.3">
      <c r="A78" s="160"/>
      <c r="B78" s="30" t="s">
        <v>82</v>
      </c>
      <c r="C78" s="31"/>
      <c r="D78" s="32"/>
      <c r="E78" s="54">
        <f>SUBTOTAL(9,E77:E77)</f>
        <v>139090</v>
      </c>
      <c r="F78" s="77"/>
      <c r="G78" s="81">
        <f t="shared" si="1"/>
        <v>139090</v>
      </c>
    </row>
    <row r="79" spans="1:7" ht="36" x14ac:dyDescent="0.25">
      <c r="A79" s="158" t="s">
        <v>48</v>
      </c>
      <c r="B79" s="16" t="s">
        <v>126</v>
      </c>
      <c r="C79" s="33" t="s">
        <v>88</v>
      </c>
      <c r="D79" s="17" t="s">
        <v>81</v>
      </c>
      <c r="E79" s="45">
        <v>257306</v>
      </c>
      <c r="F79" s="75"/>
      <c r="G79" s="76">
        <f t="shared" si="1"/>
        <v>257306</v>
      </c>
    </row>
    <row r="80" spans="1:7" ht="24.75" thickBot="1" x14ac:dyDescent="0.3">
      <c r="A80" s="160"/>
      <c r="B80" s="30" t="s">
        <v>82</v>
      </c>
      <c r="C80" s="31"/>
      <c r="D80" s="32"/>
      <c r="E80" s="54">
        <f>SUBTOTAL(9,E79:E79)</f>
        <v>257306</v>
      </c>
      <c r="F80" s="77"/>
      <c r="G80" s="81">
        <f t="shared" si="1"/>
        <v>257306</v>
      </c>
    </row>
    <row r="81" spans="1:7" ht="36" x14ac:dyDescent="0.25">
      <c r="A81" s="158" t="s">
        <v>54</v>
      </c>
      <c r="B81" s="16" t="s">
        <v>127</v>
      </c>
      <c r="C81" s="33" t="s">
        <v>88</v>
      </c>
      <c r="D81" s="17" t="s">
        <v>81</v>
      </c>
      <c r="E81" s="45">
        <v>144134</v>
      </c>
      <c r="F81" s="75"/>
      <c r="G81" s="76">
        <f t="shared" si="1"/>
        <v>144134</v>
      </c>
    </row>
    <row r="82" spans="1:7" ht="24.75" thickBot="1" x14ac:dyDescent="0.3">
      <c r="A82" s="160"/>
      <c r="B82" s="30" t="s">
        <v>82</v>
      </c>
      <c r="C82" s="31"/>
      <c r="D82" s="32"/>
      <c r="E82" s="54">
        <f>SUBTOTAL(9,E81:E81)</f>
        <v>144134</v>
      </c>
      <c r="F82" s="77"/>
      <c r="G82" s="81">
        <f t="shared" si="1"/>
        <v>144134</v>
      </c>
    </row>
    <row r="83" spans="1:7" ht="36" x14ac:dyDescent="0.25">
      <c r="A83" s="158" t="s">
        <v>56</v>
      </c>
      <c r="B83" s="16" t="s">
        <v>128</v>
      </c>
      <c r="C83" s="33" t="s">
        <v>88</v>
      </c>
      <c r="D83" s="17" t="s">
        <v>81</v>
      </c>
      <c r="E83" s="45">
        <v>197672</v>
      </c>
      <c r="F83" s="75"/>
      <c r="G83" s="76">
        <f t="shared" si="1"/>
        <v>197672</v>
      </c>
    </row>
    <row r="84" spans="1:7" ht="24.75" thickBot="1" x14ac:dyDescent="0.3">
      <c r="A84" s="160"/>
      <c r="B84" s="30" t="s">
        <v>82</v>
      </c>
      <c r="C84" s="31"/>
      <c r="D84" s="32"/>
      <c r="E84" s="54">
        <f>SUBTOTAL(9,E83:E83)</f>
        <v>197672</v>
      </c>
      <c r="F84" s="77"/>
      <c r="G84" s="81">
        <f t="shared" si="1"/>
        <v>197672</v>
      </c>
    </row>
    <row r="85" spans="1:7" x14ac:dyDescent="0.25">
      <c r="A85" s="158" t="s">
        <v>58</v>
      </c>
      <c r="B85" s="161" t="s">
        <v>129</v>
      </c>
      <c r="C85" s="161" t="s">
        <v>104</v>
      </c>
      <c r="D85" s="17" t="s">
        <v>81</v>
      </c>
      <c r="E85" s="45">
        <v>9660</v>
      </c>
      <c r="F85" s="75"/>
      <c r="G85" s="76">
        <f t="shared" si="1"/>
        <v>9660</v>
      </c>
    </row>
    <row r="86" spans="1:7" x14ac:dyDescent="0.25">
      <c r="A86" s="159"/>
      <c r="B86" s="163"/>
      <c r="C86" s="163"/>
      <c r="D86" s="34" t="s">
        <v>85</v>
      </c>
      <c r="E86" s="55">
        <v>481250</v>
      </c>
      <c r="F86" s="78"/>
      <c r="G86" s="76">
        <f t="shared" si="1"/>
        <v>481250</v>
      </c>
    </row>
    <row r="87" spans="1:7" ht="24.75" thickBot="1" x14ac:dyDescent="0.3">
      <c r="A87" s="160"/>
      <c r="B87" s="30" t="s">
        <v>82</v>
      </c>
      <c r="C87" s="31"/>
      <c r="D87" s="32"/>
      <c r="E87" s="54">
        <f>SUBTOTAL(9,E85:E86)</f>
        <v>490910</v>
      </c>
      <c r="F87" s="77"/>
      <c r="G87" s="81">
        <f t="shared" si="1"/>
        <v>490910</v>
      </c>
    </row>
    <row r="88" spans="1:7" x14ac:dyDescent="0.25">
      <c r="A88" s="158" t="s">
        <v>60</v>
      </c>
      <c r="B88" s="161" t="s">
        <v>130</v>
      </c>
      <c r="C88" s="161" t="s">
        <v>106</v>
      </c>
      <c r="D88" s="17" t="s">
        <v>81</v>
      </c>
      <c r="E88" s="45">
        <f>1715056</f>
        <v>1715056</v>
      </c>
      <c r="F88" s="75"/>
      <c r="G88" s="76">
        <f t="shared" si="1"/>
        <v>1715056</v>
      </c>
    </row>
    <row r="89" spans="1:7" x14ac:dyDescent="0.25">
      <c r="A89" s="159"/>
      <c r="B89" s="163"/>
      <c r="C89" s="163"/>
      <c r="D89" s="35" t="s">
        <v>84</v>
      </c>
      <c r="E89" s="56">
        <f>10400+77000</f>
        <v>87400</v>
      </c>
      <c r="F89" s="78"/>
      <c r="G89" s="76">
        <f t="shared" si="1"/>
        <v>87400</v>
      </c>
    </row>
    <row r="90" spans="1:7" ht="24.75" thickBot="1" x14ac:dyDescent="0.3">
      <c r="A90" s="160"/>
      <c r="B90" s="30" t="s">
        <v>82</v>
      </c>
      <c r="C90" s="31"/>
      <c r="D90" s="32"/>
      <c r="E90" s="54">
        <f>SUBTOTAL(9,E88:E89)</f>
        <v>1802456</v>
      </c>
      <c r="F90" s="77"/>
      <c r="G90" s="81">
        <f t="shared" si="1"/>
        <v>1802456</v>
      </c>
    </row>
    <row r="91" spans="1:7" x14ac:dyDescent="0.25">
      <c r="A91" s="158" t="s">
        <v>62</v>
      </c>
      <c r="B91" s="161" t="s">
        <v>131</v>
      </c>
      <c r="C91" s="161" t="s">
        <v>106</v>
      </c>
      <c r="D91" s="17" t="s">
        <v>81</v>
      </c>
      <c r="E91" s="45">
        <f>372749</f>
        <v>372749</v>
      </c>
      <c r="F91" s="75"/>
      <c r="G91" s="76">
        <f t="shared" si="1"/>
        <v>372749</v>
      </c>
    </row>
    <row r="92" spans="1:7" x14ac:dyDescent="0.25">
      <c r="A92" s="159"/>
      <c r="B92" s="163"/>
      <c r="C92" s="163"/>
      <c r="D92" s="35" t="s">
        <v>84</v>
      </c>
      <c r="E92" s="56">
        <f>810+4900</f>
        <v>5710</v>
      </c>
      <c r="F92" s="78"/>
      <c r="G92" s="76">
        <f t="shared" si="1"/>
        <v>5710</v>
      </c>
    </row>
    <row r="93" spans="1:7" ht="24.75" thickBot="1" x14ac:dyDescent="0.3">
      <c r="A93" s="160"/>
      <c r="B93" s="30" t="s">
        <v>82</v>
      </c>
      <c r="C93" s="31"/>
      <c r="D93" s="32"/>
      <c r="E93" s="54">
        <f>SUBTOTAL(9,E91:E92)</f>
        <v>378459</v>
      </c>
      <c r="F93" s="77"/>
      <c r="G93" s="81">
        <f t="shared" si="1"/>
        <v>378459</v>
      </c>
    </row>
    <row r="94" spans="1:7" x14ac:dyDescent="0.25">
      <c r="A94" s="158" t="s">
        <v>64</v>
      </c>
      <c r="B94" s="161" t="s">
        <v>132</v>
      </c>
      <c r="C94" s="161" t="s">
        <v>106</v>
      </c>
      <c r="D94" s="17" t="s">
        <v>81</v>
      </c>
      <c r="E94" s="45">
        <f>1374426</f>
        <v>1374426</v>
      </c>
      <c r="F94" s="75"/>
      <c r="G94" s="76">
        <f t="shared" si="1"/>
        <v>1374426</v>
      </c>
    </row>
    <row r="95" spans="1:7" x14ac:dyDescent="0.25">
      <c r="A95" s="159"/>
      <c r="B95" s="162"/>
      <c r="C95" s="162"/>
      <c r="D95" s="35" t="s">
        <v>84</v>
      </c>
      <c r="E95" s="56">
        <f>19000</f>
        <v>19000</v>
      </c>
      <c r="F95" s="78"/>
      <c r="G95" s="76">
        <f t="shared" si="1"/>
        <v>19000</v>
      </c>
    </row>
    <row r="96" spans="1:7" x14ac:dyDescent="0.25">
      <c r="A96" s="159"/>
      <c r="B96" s="163"/>
      <c r="C96" s="163"/>
      <c r="D96" s="34" t="s">
        <v>110</v>
      </c>
      <c r="E96" s="55">
        <v>48316</v>
      </c>
      <c r="F96" s="78"/>
      <c r="G96" s="76">
        <f t="shared" si="1"/>
        <v>48316</v>
      </c>
    </row>
    <row r="97" spans="1:7" ht="24.75" thickBot="1" x14ac:dyDescent="0.3">
      <c r="A97" s="160"/>
      <c r="B97" s="30" t="s">
        <v>82</v>
      </c>
      <c r="C97" s="31"/>
      <c r="D97" s="32"/>
      <c r="E97" s="54">
        <f>SUBTOTAL(9,E94:E96)</f>
        <v>1441742</v>
      </c>
      <c r="F97" s="77"/>
      <c r="G97" s="81">
        <f t="shared" si="1"/>
        <v>1441742</v>
      </c>
    </row>
    <row r="98" spans="1:7" x14ac:dyDescent="0.25">
      <c r="A98" s="158" t="s">
        <v>66</v>
      </c>
      <c r="B98" s="161" t="s">
        <v>133</v>
      </c>
      <c r="C98" s="161" t="s">
        <v>106</v>
      </c>
      <c r="D98" s="17" t="s">
        <v>81</v>
      </c>
      <c r="E98" s="45">
        <f>742151</f>
        <v>742151</v>
      </c>
      <c r="F98" s="75"/>
      <c r="G98" s="76">
        <f t="shared" si="1"/>
        <v>742151</v>
      </c>
    </row>
    <row r="99" spans="1:7" x14ac:dyDescent="0.25">
      <c r="A99" s="159"/>
      <c r="B99" s="163"/>
      <c r="C99" s="163"/>
      <c r="D99" s="34" t="s">
        <v>84</v>
      </c>
      <c r="E99" s="55">
        <f>72920+330000</f>
        <v>402920</v>
      </c>
      <c r="F99" s="78"/>
      <c r="G99" s="76">
        <f t="shared" si="1"/>
        <v>402920</v>
      </c>
    </row>
    <row r="100" spans="1:7" ht="24.75" thickBot="1" x14ac:dyDescent="0.3">
      <c r="A100" s="160"/>
      <c r="B100" s="30" t="s">
        <v>82</v>
      </c>
      <c r="C100" s="31"/>
      <c r="D100" s="32"/>
      <c r="E100" s="54">
        <f>SUBTOTAL(9,E98:E99)</f>
        <v>1145071</v>
      </c>
      <c r="F100" s="77"/>
      <c r="G100" s="81">
        <f t="shared" si="1"/>
        <v>1145071</v>
      </c>
    </row>
    <row r="101" spans="1:7" x14ac:dyDescent="0.25">
      <c r="A101" s="158" t="s">
        <v>68</v>
      </c>
      <c r="B101" s="161" t="s">
        <v>134</v>
      </c>
      <c r="C101" s="161" t="s">
        <v>106</v>
      </c>
      <c r="D101" s="17" t="s">
        <v>81</v>
      </c>
      <c r="E101" s="45">
        <f>91067</f>
        <v>91067</v>
      </c>
      <c r="F101" s="75"/>
      <c r="G101" s="76">
        <f t="shared" si="1"/>
        <v>91067</v>
      </c>
    </row>
    <row r="102" spans="1:7" ht="30" customHeight="1" x14ac:dyDescent="0.25">
      <c r="A102" s="159"/>
      <c r="B102" s="163"/>
      <c r="C102" s="163"/>
      <c r="D102" s="34" t="s">
        <v>84</v>
      </c>
      <c r="E102" s="55">
        <f>1680+3400</f>
        <v>5080</v>
      </c>
      <c r="F102" s="78"/>
      <c r="G102" s="76">
        <f t="shared" si="1"/>
        <v>5080</v>
      </c>
    </row>
    <row r="103" spans="1:7" ht="24.75" thickBot="1" x14ac:dyDescent="0.3">
      <c r="A103" s="160"/>
      <c r="B103" s="30" t="s">
        <v>82</v>
      </c>
      <c r="C103" s="31"/>
      <c r="D103" s="32"/>
      <c r="E103" s="54">
        <f>SUBTOTAL(9,E101:E102)</f>
        <v>96147</v>
      </c>
      <c r="F103" s="77"/>
      <c r="G103" s="81">
        <f t="shared" si="1"/>
        <v>96147</v>
      </c>
    </row>
    <row r="104" spans="1:7" ht="15" customHeight="1" x14ac:dyDescent="0.25">
      <c r="A104" s="158" t="s">
        <v>70</v>
      </c>
      <c r="B104" s="161" t="s">
        <v>135</v>
      </c>
      <c r="C104" s="161" t="s">
        <v>108</v>
      </c>
      <c r="D104" s="17" t="s">
        <v>81</v>
      </c>
      <c r="E104" s="45">
        <f>441412</f>
        <v>441412</v>
      </c>
      <c r="F104" s="75"/>
      <c r="G104" s="76">
        <f t="shared" si="1"/>
        <v>441412</v>
      </c>
    </row>
    <row r="105" spans="1:7" x14ac:dyDescent="0.25">
      <c r="A105" s="159"/>
      <c r="B105" s="162"/>
      <c r="C105" s="162"/>
      <c r="D105" s="35" t="s">
        <v>84</v>
      </c>
      <c r="E105" s="56">
        <f>14000</f>
        <v>14000</v>
      </c>
      <c r="F105" s="78"/>
      <c r="G105" s="76">
        <f t="shared" si="1"/>
        <v>14000</v>
      </c>
    </row>
    <row r="106" spans="1:7" x14ac:dyDescent="0.25">
      <c r="A106" s="159"/>
      <c r="B106" s="162"/>
      <c r="C106" s="162"/>
      <c r="D106" s="34" t="s">
        <v>109</v>
      </c>
      <c r="E106" s="55">
        <v>1758265</v>
      </c>
      <c r="F106" s="78"/>
      <c r="G106" s="76">
        <f t="shared" si="1"/>
        <v>1758265</v>
      </c>
    </row>
    <row r="107" spans="1:7" x14ac:dyDescent="0.25">
      <c r="A107" s="159"/>
      <c r="B107" s="162"/>
      <c r="C107" s="162"/>
      <c r="D107" s="34" t="s">
        <v>86</v>
      </c>
      <c r="E107" s="55">
        <v>17217</v>
      </c>
      <c r="F107" s="134">
        <v>-17217</v>
      </c>
      <c r="G107" s="76">
        <f t="shared" si="1"/>
        <v>0</v>
      </c>
    </row>
    <row r="108" spans="1:7" x14ac:dyDescent="0.25">
      <c r="A108" s="159"/>
      <c r="B108" s="163"/>
      <c r="C108" s="163"/>
      <c r="D108" s="36" t="s">
        <v>110</v>
      </c>
      <c r="E108" s="57"/>
      <c r="F108" s="135">
        <v>19676</v>
      </c>
      <c r="G108" s="76">
        <f t="shared" si="1"/>
        <v>19676</v>
      </c>
    </row>
    <row r="109" spans="1:7" ht="24.75" thickBot="1" x14ac:dyDescent="0.3">
      <c r="A109" s="160"/>
      <c r="B109" s="30" t="s">
        <v>82</v>
      </c>
      <c r="C109" s="31"/>
      <c r="D109" s="32"/>
      <c r="E109" s="54">
        <f>SUBTOTAL(9,E104:E107)</f>
        <v>2230894</v>
      </c>
      <c r="F109" s="136">
        <f>F107+F108</f>
        <v>2459</v>
      </c>
      <c r="G109" s="81">
        <f t="shared" si="1"/>
        <v>2233353</v>
      </c>
    </row>
    <row r="110" spans="1:7" x14ac:dyDescent="0.25">
      <c r="A110" s="158" t="s">
        <v>72</v>
      </c>
      <c r="B110" s="161" t="s">
        <v>136</v>
      </c>
      <c r="C110" s="161" t="s">
        <v>108</v>
      </c>
      <c r="D110" s="17" t="s">
        <v>81</v>
      </c>
      <c r="E110" s="45">
        <f>530403</f>
        <v>530403</v>
      </c>
      <c r="F110" s="75"/>
      <c r="G110" s="76">
        <f t="shared" si="1"/>
        <v>530403</v>
      </c>
    </row>
    <row r="111" spans="1:7" x14ac:dyDescent="0.25">
      <c r="A111" s="159"/>
      <c r="B111" s="162"/>
      <c r="C111" s="162"/>
      <c r="D111" s="35" t="s">
        <v>84</v>
      </c>
      <c r="E111" s="56">
        <f>5700</f>
        <v>5700</v>
      </c>
      <c r="F111" s="78"/>
      <c r="G111" s="76">
        <f t="shared" si="1"/>
        <v>5700</v>
      </c>
    </row>
    <row r="112" spans="1:7" x14ac:dyDescent="0.25">
      <c r="A112" s="159"/>
      <c r="B112" s="162"/>
      <c r="C112" s="162"/>
      <c r="D112" s="34" t="s">
        <v>109</v>
      </c>
      <c r="E112" s="55">
        <f>2722396-100000</f>
        <v>2622396</v>
      </c>
      <c r="F112" s="78"/>
      <c r="G112" s="76">
        <f t="shared" si="1"/>
        <v>2622396</v>
      </c>
    </row>
    <row r="113" spans="1:7" ht="24.75" thickBot="1" x14ac:dyDescent="0.3">
      <c r="A113" s="160"/>
      <c r="B113" s="30" t="s">
        <v>82</v>
      </c>
      <c r="C113" s="31"/>
      <c r="D113" s="32"/>
      <c r="E113" s="54">
        <f>SUBTOTAL(9,E110:E112)</f>
        <v>3158499</v>
      </c>
      <c r="F113" s="77"/>
      <c r="G113" s="81">
        <f t="shared" si="1"/>
        <v>3158499</v>
      </c>
    </row>
    <row r="114" spans="1:7" x14ac:dyDescent="0.25">
      <c r="A114" s="158" t="s">
        <v>74</v>
      </c>
      <c r="B114" s="161" t="s">
        <v>137</v>
      </c>
      <c r="C114" s="161" t="s">
        <v>108</v>
      </c>
      <c r="D114" s="17" t="s">
        <v>81</v>
      </c>
      <c r="E114" s="45">
        <f>549160+196910</f>
        <v>746070</v>
      </c>
      <c r="F114" s="75"/>
      <c r="G114" s="76">
        <f t="shared" si="1"/>
        <v>746070</v>
      </c>
    </row>
    <row r="115" spans="1:7" x14ac:dyDescent="0.25">
      <c r="A115" s="159"/>
      <c r="B115" s="162"/>
      <c r="C115" s="162"/>
      <c r="D115" s="35" t="s">
        <v>84</v>
      </c>
      <c r="E115" s="56">
        <f>3190+50500+35500</f>
        <v>89190</v>
      </c>
      <c r="F115" s="78"/>
      <c r="G115" s="76">
        <f t="shared" si="1"/>
        <v>89190</v>
      </c>
    </row>
    <row r="116" spans="1:7" x14ac:dyDescent="0.25">
      <c r="A116" s="159"/>
      <c r="B116" s="162"/>
      <c r="C116" s="162"/>
      <c r="D116" s="34" t="s">
        <v>109</v>
      </c>
      <c r="E116" s="55">
        <f>1477932+179861</f>
        <v>1657793</v>
      </c>
      <c r="F116" s="78"/>
      <c r="G116" s="76">
        <f t="shared" si="1"/>
        <v>1657793</v>
      </c>
    </row>
    <row r="117" spans="1:7" x14ac:dyDescent="0.25">
      <c r="A117" s="159"/>
      <c r="B117" s="162"/>
      <c r="C117" s="162"/>
      <c r="D117" s="36" t="s">
        <v>86</v>
      </c>
      <c r="E117" s="57">
        <v>18506</v>
      </c>
      <c r="F117" s="134">
        <v>-18506</v>
      </c>
      <c r="G117" s="76">
        <f t="shared" si="1"/>
        <v>0</v>
      </c>
    </row>
    <row r="118" spans="1:7" x14ac:dyDescent="0.25">
      <c r="A118" s="159"/>
      <c r="B118" s="163"/>
      <c r="C118" s="163"/>
      <c r="D118" s="36" t="s">
        <v>110</v>
      </c>
      <c r="E118" s="57">
        <v>11460</v>
      </c>
      <c r="F118" s="134">
        <v>18506</v>
      </c>
      <c r="G118" s="76">
        <f t="shared" si="1"/>
        <v>29966</v>
      </c>
    </row>
    <row r="119" spans="1:7" ht="24.75" thickBot="1" x14ac:dyDescent="0.3">
      <c r="A119" s="160"/>
      <c r="B119" s="30" t="s">
        <v>82</v>
      </c>
      <c r="C119" s="31"/>
      <c r="D119" s="32"/>
      <c r="E119" s="54">
        <f>SUBTOTAL(9,E114:E118)</f>
        <v>2523019</v>
      </c>
      <c r="F119" s="94">
        <f>F117+F118</f>
        <v>0</v>
      </c>
      <c r="G119" s="81">
        <f t="shared" si="1"/>
        <v>2523019</v>
      </c>
    </row>
    <row r="120" spans="1:7" x14ac:dyDescent="0.25">
      <c r="A120" s="158" t="s">
        <v>138</v>
      </c>
      <c r="B120" s="161" t="s">
        <v>139</v>
      </c>
      <c r="C120" s="161" t="s">
        <v>108</v>
      </c>
      <c r="D120" s="17" t="s">
        <v>81</v>
      </c>
      <c r="E120" s="45">
        <f>477676+308802</f>
        <v>786478</v>
      </c>
      <c r="F120" s="75"/>
      <c r="G120" s="76">
        <f t="shared" si="1"/>
        <v>786478</v>
      </c>
    </row>
    <row r="121" spans="1:7" x14ac:dyDescent="0.25">
      <c r="A121" s="159"/>
      <c r="B121" s="162"/>
      <c r="C121" s="162"/>
      <c r="D121" s="35" t="s">
        <v>84</v>
      </c>
      <c r="E121" s="56">
        <f>960+3000+51000</f>
        <v>54960</v>
      </c>
      <c r="F121" s="78"/>
      <c r="G121" s="76">
        <f t="shared" si="1"/>
        <v>54960</v>
      </c>
    </row>
    <row r="122" spans="1:7" x14ac:dyDescent="0.25">
      <c r="A122" s="159"/>
      <c r="B122" s="162"/>
      <c r="C122" s="162"/>
      <c r="D122" s="34" t="s">
        <v>109</v>
      </c>
      <c r="E122" s="55">
        <f>1185733+361865</f>
        <v>1547598</v>
      </c>
      <c r="F122" s="78"/>
      <c r="G122" s="76">
        <f t="shared" si="1"/>
        <v>1547598</v>
      </c>
    </row>
    <row r="123" spans="1:7" x14ac:dyDescent="0.25">
      <c r="A123" s="159"/>
      <c r="B123" s="163"/>
      <c r="C123" s="163"/>
      <c r="D123" s="36" t="s">
        <v>110</v>
      </c>
      <c r="E123" s="57">
        <v>9085</v>
      </c>
      <c r="F123" s="78"/>
      <c r="G123" s="76">
        <f t="shared" si="1"/>
        <v>9085</v>
      </c>
    </row>
    <row r="124" spans="1:7" ht="24.75" thickBot="1" x14ac:dyDescent="0.3">
      <c r="A124" s="160"/>
      <c r="B124" s="30" t="s">
        <v>82</v>
      </c>
      <c r="C124" s="31"/>
      <c r="D124" s="32"/>
      <c r="E124" s="54">
        <f>SUBTOTAL(9,E120:E123)</f>
        <v>2398121</v>
      </c>
      <c r="F124" s="77"/>
      <c r="G124" s="81">
        <f t="shared" si="1"/>
        <v>2398121</v>
      </c>
    </row>
    <row r="125" spans="1:7" x14ac:dyDescent="0.25">
      <c r="A125" s="158" t="s">
        <v>140</v>
      </c>
      <c r="B125" s="161" t="s">
        <v>141</v>
      </c>
      <c r="C125" s="161" t="s">
        <v>108</v>
      </c>
      <c r="D125" s="17" t="s">
        <v>81</v>
      </c>
      <c r="E125" s="45">
        <f>615775+156962</f>
        <v>772737</v>
      </c>
      <c r="F125" s="75"/>
      <c r="G125" s="76">
        <f t="shared" si="1"/>
        <v>772737</v>
      </c>
    </row>
    <row r="126" spans="1:7" x14ac:dyDescent="0.25">
      <c r="A126" s="159"/>
      <c r="B126" s="162"/>
      <c r="C126" s="162"/>
      <c r="D126" s="35" t="s">
        <v>84</v>
      </c>
      <c r="E126" s="56">
        <f>8390+45000+7700</f>
        <v>61090</v>
      </c>
      <c r="F126" s="78"/>
      <c r="G126" s="76">
        <f t="shared" si="1"/>
        <v>61090</v>
      </c>
    </row>
    <row r="127" spans="1:7" x14ac:dyDescent="0.25">
      <c r="A127" s="159"/>
      <c r="B127" s="162"/>
      <c r="C127" s="162"/>
      <c r="D127" s="34" t="s">
        <v>109</v>
      </c>
      <c r="E127" s="55">
        <f>1706292+118204</f>
        <v>1824496</v>
      </c>
      <c r="F127" s="78"/>
      <c r="G127" s="76">
        <f t="shared" si="1"/>
        <v>1824496</v>
      </c>
    </row>
    <row r="128" spans="1:7" x14ac:dyDescent="0.25">
      <c r="A128" s="159"/>
      <c r="B128" s="163"/>
      <c r="C128" s="163"/>
      <c r="D128" s="36" t="s">
        <v>110</v>
      </c>
      <c r="E128" s="57">
        <v>5404</v>
      </c>
      <c r="F128" s="78"/>
      <c r="G128" s="76">
        <f t="shared" si="1"/>
        <v>5404</v>
      </c>
    </row>
    <row r="129" spans="1:7" ht="24.75" thickBot="1" x14ac:dyDescent="0.3">
      <c r="A129" s="160"/>
      <c r="B129" s="30" t="s">
        <v>82</v>
      </c>
      <c r="C129" s="31"/>
      <c r="D129" s="32"/>
      <c r="E129" s="54">
        <f>SUBTOTAL(9,E125:E128)</f>
        <v>2663727</v>
      </c>
      <c r="F129" s="77"/>
      <c r="G129" s="81">
        <f t="shared" si="1"/>
        <v>2663727</v>
      </c>
    </row>
    <row r="130" spans="1:7" x14ac:dyDescent="0.25">
      <c r="A130" s="158" t="s">
        <v>142</v>
      </c>
      <c r="B130" s="161" t="s">
        <v>143</v>
      </c>
      <c r="C130" s="161" t="s">
        <v>108</v>
      </c>
      <c r="D130" s="17" t="s">
        <v>81</v>
      </c>
      <c r="E130" s="45">
        <f>267752+222785</f>
        <v>490537</v>
      </c>
      <c r="F130" s="75"/>
      <c r="G130" s="76">
        <f t="shared" si="1"/>
        <v>490537</v>
      </c>
    </row>
    <row r="131" spans="1:7" x14ac:dyDescent="0.25">
      <c r="A131" s="159"/>
      <c r="B131" s="162"/>
      <c r="C131" s="162"/>
      <c r="D131" s="34" t="s">
        <v>84</v>
      </c>
      <c r="E131" s="55">
        <f>270+2000+25000</f>
        <v>27270</v>
      </c>
      <c r="F131" s="78"/>
      <c r="G131" s="76">
        <f t="shared" si="1"/>
        <v>27270</v>
      </c>
    </row>
    <row r="132" spans="1:7" x14ac:dyDescent="0.25">
      <c r="A132" s="159"/>
      <c r="B132" s="162"/>
      <c r="C132" s="162"/>
      <c r="D132" s="35" t="s">
        <v>109</v>
      </c>
      <c r="E132" s="56">
        <f>1005357+191351</f>
        <v>1196708</v>
      </c>
      <c r="F132" s="78"/>
      <c r="G132" s="76">
        <f t="shared" si="1"/>
        <v>1196708</v>
      </c>
    </row>
    <row r="133" spans="1:7" x14ac:dyDescent="0.25">
      <c r="A133" s="159"/>
      <c r="B133" s="163"/>
      <c r="C133" s="163"/>
      <c r="D133" s="37" t="s">
        <v>110</v>
      </c>
      <c r="E133" s="58">
        <v>2850</v>
      </c>
      <c r="F133" s="78"/>
      <c r="G133" s="76">
        <f t="shared" si="1"/>
        <v>2850</v>
      </c>
    </row>
    <row r="134" spans="1:7" ht="24.75" thickBot="1" x14ac:dyDescent="0.3">
      <c r="A134" s="160"/>
      <c r="B134" s="30" t="s">
        <v>82</v>
      </c>
      <c r="C134" s="31"/>
      <c r="D134" s="32"/>
      <c r="E134" s="54">
        <f>SUBTOTAL(9,E130:E133)</f>
        <v>1717365</v>
      </c>
      <c r="F134" s="77"/>
      <c r="G134" s="81">
        <f t="shared" si="1"/>
        <v>1717365</v>
      </c>
    </row>
    <row r="135" spans="1:7" x14ac:dyDescent="0.25">
      <c r="A135" s="158" t="s">
        <v>144</v>
      </c>
      <c r="B135" s="161" t="s">
        <v>145</v>
      </c>
      <c r="C135" s="161" t="s">
        <v>108</v>
      </c>
      <c r="D135" s="17" t="s">
        <v>81</v>
      </c>
      <c r="E135" s="45">
        <f>414049</f>
        <v>414049</v>
      </c>
      <c r="F135" s="75"/>
      <c r="G135" s="76">
        <f t="shared" si="1"/>
        <v>414049</v>
      </c>
    </row>
    <row r="136" spans="1:7" x14ac:dyDescent="0.25">
      <c r="A136" s="159"/>
      <c r="B136" s="162"/>
      <c r="C136" s="162"/>
      <c r="D136" s="35" t="s">
        <v>84</v>
      </c>
      <c r="E136" s="56">
        <f>1520+25000</f>
        <v>26520</v>
      </c>
      <c r="F136" s="78"/>
      <c r="G136" s="76">
        <f t="shared" si="1"/>
        <v>26520</v>
      </c>
    </row>
    <row r="137" spans="1:7" x14ac:dyDescent="0.25">
      <c r="A137" s="159"/>
      <c r="B137" s="162"/>
      <c r="C137" s="162"/>
      <c r="D137" s="34" t="s">
        <v>109</v>
      </c>
      <c r="E137" s="55">
        <f>699757</f>
        <v>699757</v>
      </c>
      <c r="F137" s="78"/>
      <c r="G137" s="76">
        <f t="shared" si="1"/>
        <v>699757</v>
      </c>
    </row>
    <row r="138" spans="1:7" x14ac:dyDescent="0.25">
      <c r="A138" s="159"/>
      <c r="B138" s="163"/>
      <c r="C138" s="163"/>
      <c r="D138" s="36" t="s">
        <v>110</v>
      </c>
      <c r="E138" s="57">
        <v>2227</v>
      </c>
      <c r="F138" s="78"/>
      <c r="G138" s="76">
        <f t="shared" si="1"/>
        <v>2227</v>
      </c>
    </row>
    <row r="139" spans="1:7" ht="24.75" thickBot="1" x14ac:dyDescent="0.3">
      <c r="A139" s="160"/>
      <c r="B139" s="30" t="s">
        <v>82</v>
      </c>
      <c r="C139" s="31"/>
      <c r="D139" s="32"/>
      <c r="E139" s="54">
        <f>SUBTOTAL(9,E135:E138)</f>
        <v>1142553</v>
      </c>
      <c r="F139" s="77"/>
      <c r="G139" s="81">
        <f t="shared" si="1"/>
        <v>1142553</v>
      </c>
    </row>
    <row r="140" spans="1:7" x14ac:dyDescent="0.25">
      <c r="A140" s="158" t="s">
        <v>146</v>
      </c>
      <c r="B140" s="161" t="s">
        <v>147</v>
      </c>
      <c r="C140" s="161" t="s">
        <v>108</v>
      </c>
      <c r="D140" s="17" t="s">
        <v>81</v>
      </c>
      <c r="E140" s="45">
        <f>413050</f>
        <v>413050</v>
      </c>
      <c r="F140" s="75"/>
      <c r="G140" s="76">
        <f t="shared" si="1"/>
        <v>413050</v>
      </c>
    </row>
    <row r="141" spans="1:7" x14ac:dyDescent="0.25">
      <c r="A141" s="159"/>
      <c r="B141" s="162"/>
      <c r="C141" s="162"/>
      <c r="D141" s="35" t="s">
        <v>84</v>
      </c>
      <c r="E141" s="56">
        <f>1460+23400</f>
        <v>24860</v>
      </c>
      <c r="F141" s="78"/>
      <c r="G141" s="76">
        <f t="shared" ref="G141:G204" si="2">E141+F141</f>
        <v>24860</v>
      </c>
    </row>
    <row r="142" spans="1:7" x14ac:dyDescent="0.25">
      <c r="A142" s="159"/>
      <c r="B142" s="162"/>
      <c r="C142" s="162"/>
      <c r="D142" s="34" t="s">
        <v>109</v>
      </c>
      <c r="E142" s="55">
        <f>779937</f>
        <v>779937</v>
      </c>
      <c r="F142" s="78"/>
      <c r="G142" s="76">
        <f t="shared" si="2"/>
        <v>779937</v>
      </c>
    </row>
    <row r="143" spans="1:7" x14ac:dyDescent="0.25">
      <c r="A143" s="159"/>
      <c r="B143" s="163"/>
      <c r="C143" s="163"/>
      <c r="D143" s="36" t="s">
        <v>110</v>
      </c>
      <c r="E143" s="57">
        <v>3652</v>
      </c>
      <c r="F143" s="78"/>
      <c r="G143" s="76">
        <f t="shared" si="2"/>
        <v>3652</v>
      </c>
    </row>
    <row r="144" spans="1:7" ht="24.75" thickBot="1" x14ac:dyDescent="0.3">
      <c r="A144" s="160"/>
      <c r="B144" s="30" t="s">
        <v>82</v>
      </c>
      <c r="C144" s="31"/>
      <c r="D144" s="32"/>
      <c r="E144" s="54">
        <f>SUBTOTAL(9,E140:E143)</f>
        <v>1221499</v>
      </c>
      <c r="F144" s="77"/>
      <c r="G144" s="81">
        <f t="shared" si="2"/>
        <v>1221499</v>
      </c>
    </row>
    <row r="145" spans="1:7" x14ac:dyDescent="0.25">
      <c r="A145" s="158" t="s">
        <v>148</v>
      </c>
      <c r="B145" s="161" t="s">
        <v>149</v>
      </c>
      <c r="C145" s="161" t="s">
        <v>108</v>
      </c>
      <c r="D145" s="17" t="s">
        <v>81</v>
      </c>
      <c r="E145" s="45">
        <f>330048</f>
        <v>330048</v>
      </c>
      <c r="F145" s="75"/>
      <c r="G145" s="76">
        <f t="shared" si="2"/>
        <v>330048</v>
      </c>
    </row>
    <row r="146" spans="1:7" x14ac:dyDescent="0.25">
      <c r="A146" s="159"/>
      <c r="B146" s="162"/>
      <c r="C146" s="162"/>
      <c r="D146" s="35" t="s">
        <v>84</v>
      </c>
      <c r="E146" s="56">
        <f>20800</f>
        <v>20800</v>
      </c>
      <c r="F146" s="78"/>
      <c r="G146" s="76">
        <f t="shared" si="2"/>
        <v>20800</v>
      </c>
    </row>
    <row r="147" spans="1:7" x14ac:dyDescent="0.25">
      <c r="A147" s="159"/>
      <c r="B147" s="162"/>
      <c r="C147" s="162"/>
      <c r="D147" s="34" t="s">
        <v>109</v>
      </c>
      <c r="E147" s="55">
        <f>644227</f>
        <v>644227</v>
      </c>
      <c r="F147" s="78"/>
      <c r="G147" s="76">
        <f t="shared" si="2"/>
        <v>644227</v>
      </c>
    </row>
    <row r="148" spans="1:7" x14ac:dyDescent="0.25">
      <c r="A148" s="159"/>
      <c r="B148" s="163"/>
      <c r="C148" s="163"/>
      <c r="D148" s="36" t="s">
        <v>110</v>
      </c>
      <c r="E148" s="57">
        <v>5314</v>
      </c>
      <c r="F148" s="78"/>
      <c r="G148" s="76">
        <f t="shared" si="2"/>
        <v>5314</v>
      </c>
    </row>
    <row r="149" spans="1:7" ht="24.75" thickBot="1" x14ac:dyDescent="0.3">
      <c r="A149" s="160"/>
      <c r="B149" s="30" t="s">
        <v>82</v>
      </c>
      <c r="C149" s="31"/>
      <c r="D149" s="32"/>
      <c r="E149" s="54">
        <f>SUBTOTAL(9,E145:E148)</f>
        <v>1000389</v>
      </c>
      <c r="F149" s="77"/>
      <c r="G149" s="81">
        <f t="shared" si="2"/>
        <v>1000389</v>
      </c>
    </row>
    <row r="150" spans="1:7" x14ac:dyDescent="0.25">
      <c r="A150" s="158" t="s">
        <v>150</v>
      </c>
      <c r="B150" s="161" t="s">
        <v>151</v>
      </c>
      <c r="C150" s="161" t="s">
        <v>108</v>
      </c>
      <c r="D150" s="17" t="s">
        <v>81</v>
      </c>
      <c r="E150" s="45">
        <f>234049</f>
        <v>234049</v>
      </c>
      <c r="F150" s="75"/>
      <c r="G150" s="76">
        <f t="shared" si="2"/>
        <v>234049</v>
      </c>
    </row>
    <row r="151" spans="1:7" x14ac:dyDescent="0.25">
      <c r="A151" s="159"/>
      <c r="B151" s="162"/>
      <c r="C151" s="162"/>
      <c r="D151" s="35" t="s">
        <v>84</v>
      </c>
      <c r="E151" s="56">
        <f>6040+25600</f>
        <v>31640</v>
      </c>
      <c r="F151" s="78"/>
      <c r="G151" s="76">
        <f t="shared" si="2"/>
        <v>31640</v>
      </c>
    </row>
    <row r="152" spans="1:7" x14ac:dyDescent="0.25">
      <c r="A152" s="159"/>
      <c r="B152" s="162"/>
      <c r="C152" s="162"/>
      <c r="D152" s="34" t="s">
        <v>109</v>
      </c>
      <c r="E152" s="55">
        <f>381179</f>
        <v>381179</v>
      </c>
      <c r="F152" s="78"/>
      <c r="G152" s="76">
        <f t="shared" si="2"/>
        <v>381179</v>
      </c>
    </row>
    <row r="153" spans="1:7" x14ac:dyDescent="0.25">
      <c r="A153" s="159"/>
      <c r="B153" s="163"/>
      <c r="C153" s="163"/>
      <c r="D153" s="36" t="s">
        <v>110</v>
      </c>
      <c r="E153" s="57">
        <v>1781</v>
      </c>
      <c r="F153" s="78"/>
      <c r="G153" s="76">
        <f t="shared" si="2"/>
        <v>1781</v>
      </c>
    </row>
    <row r="154" spans="1:7" ht="24.75" thickBot="1" x14ac:dyDescent="0.3">
      <c r="A154" s="160"/>
      <c r="B154" s="30" t="s">
        <v>82</v>
      </c>
      <c r="C154" s="31"/>
      <c r="D154" s="32"/>
      <c r="E154" s="54">
        <f>SUBTOTAL(9,E150:E153)</f>
        <v>648649</v>
      </c>
      <c r="F154" s="77"/>
      <c r="G154" s="81">
        <f t="shared" si="2"/>
        <v>648649</v>
      </c>
    </row>
    <row r="155" spans="1:7" x14ac:dyDescent="0.25">
      <c r="A155" s="158" t="s">
        <v>152</v>
      </c>
      <c r="B155" s="161" t="s">
        <v>153</v>
      </c>
      <c r="C155" s="161" t="s">
        <v>108</v>
      </c>
      <c r="D155" s="17" t="s">
        <v>81</v>
      </c>
      <c r="E155" s="45">
        <f>732044</f>
        <v>732044</v>
      </c>
      <c r="F155" s="75"/>
      <c r="G155" s="76">
        <f t="shared" si="2"/>
        <v>732044</v>
      </c>
    </row>
    <row r="156" spans="1:7" x14ac:dyDescent="0.25">
      <c r="A156" s="159"/>
      <c r="B156" s="162"/>
      <c r="C156" s="162"/>
      <c r="D156" s="35" t="s">
        <v>84</v>
      </c>
      <c r="E156" s="56">
        <f>11320+90000</f>
        <v>101320</v>
      </c>
      <c r="F156" s="78"/>
      <c r="G156" s="76">
        <f t="shared" si="2"/>
        <v>101320</v>
      </c>
    </row>
    <row r="157" spans="1:7" x14ac:dyDescent="0.25">
      <c r="A157" s="159"/>
      <c r="B157" s="162"/>
      <c r="C157" s="162"/>
      <c r="D157" s="34" t="s">
        <v>109</v>
      </c>
      <c r="E157" s="55">
        <f>1397703</f>
        <v>1397703</v>
      </c>
      <c r="F157" s="78"/>
      <c r="G157" s="76">
        <f t="shared" si="2"/>
        <v>1397703</v>
      </c>
    </row>
    <row r="158" spans="1:7" x14ac:dyDescent="0.25">
      <c r="A158" s="159"/>
      <c r="B158" s="162"/>
      <c r="C158" s="162"/>
      <c r="D158" s="36" t="s">
        <v>86</v>
      </c>
      <c r="E158" s="57">
        <v>18634</v>
      </c>
      <c r="F158" s="134">
        <v>-18634</v>
      </c>
      <c r="G158" s="76">
        <f t="shared" si="2"/>
        <v>0</v>
      </c>
    </row>
    <row r="159" spans="1:7" x14ac:dyDescent="0.25">
      <c r="A159" s="159"/>
      <c r="B159" s="163"/>
      <c r="C159" s="163"/>
      <c r="D159" s="36" t="s">
        <v>110</v>
      </c>
      <c r="E159" s="57">
        <v>22060</v>
      </c>
      <c r="F159" s="134">
        <v>18648</v>
      </c>
      <c r="G159" s="76">
        <f t="shared" si="2"/>
        <v>40708</v>
      </c>
    </row>
    <row r="160" spans="1:7" ht="24.75" thickBot="1" x14ac:dyDescent="0.3">
      <c r="A160" s="160"/>
      <c r="B160" s="30" t="s">
        <v>82</v>
      </c>
      <c r="C160" s="31"/>
      <c r="D160" s="32"/>
      <c r="E160" s="54">
        <f>SUBTOTAL(9,E155:E159)</f>
        <v>2271761</v>
      </c>
      <c r="F160" s="94">
        <f>F158+F159</f>
        <v>14</v>
      </c>
      <c r="G160" s="81">
        <f t="shared" si="2"/>
        <v>2271775</v>
      </c>
    </row>
    <row r="161" spans="1:7" x14ac:dyDescent="0.25">
      <c r="A161" s="158" t="s">
        <v>154</v>
      </c>
      <c r="B161" s="161" t="s">
        <v>155</v>
      </c>
      <c r="C161" s="161" t="s">
        <v>108</v>
      </c>
      <c r="D161" s="17" t="s">
        <v>81</v>
      </c>
      <c r="E161" s="45">
        <f>518199</f>
        <v>518199</v>
      </c>
      <c r="F161" s="75"/>
      <c r="G161" s="76">
        <f t="shared" si="2"/>
        <v>518199</v>
      </c>
    </row>
    <row r="162" spans="1:7" x14ac:dyDescent="0.25">
      <c r="A162" s="159"/>
      <c r="B162" s="162"/>
      <c r="C162" s="162"/>
      <c r="D162" s="34" t="s">
        <v>84</v>
      </c>
      <c r="E162" s="55">
        <f>960+101500</f>
        <v>102460</v>
      </c>
      <c r="F162" s="78"/>
      <c r="G162" s="76">
        <f t="shared" si="2"/>
        <v>102460</v>
      </c>
    </row>
    <row r="163" spans="1:7" x14ac:dyDescent="0.25">
      <c r="A163" s="159"/>
      <c r="B163" s="162"/>
      <c r="C163" s="162"/>
      <c r="D163" s="35" t="s">
        <v>109</v>
      </c>
      <c r="E163" s="56">
        <f>523981</f>
        <v>523981</v>
      </c>
      <c r="F163" s="78"/>
      <c r="G163" s="76">
        <f t="shared" si="2"/>
        <v>523981</v>
      </c>
    </row>
    <row r="164" spans="1:7" x14ac:dyDescent="0.25">
      <c r="A164" s="159"/>
      <c r="B164" s="163"/>
      <c r="C164" s="163"/>
      <c r="D164" s="37" t="s">
        <v>110</v>
      </c>
      <c r="E164" s="58">
        <v>13153</v>
      </c>
      <c r="F164" s="78"/>
      <c r="G164" s="76">
        <f t="shared" si="2"/>
        <v>13153</v>
      </c>
    </row>
    <row r="165" spans="1:7" ht="24.75" thickBot="1" x14ac:dyDescent="0.3">
      <c r="A165" s="160"/>
      <c r="B165" s="30" t="s">
        <v>82</v>
      </c>
      <c r="C165" s="31"/>
      <c r="D165" s="32"/>
      <c r="E165" s="54">
        <f>SUBTOTAL(9,E161:E164)</f>
        <v>1157793</v>
      </c>
      <c r="F165" s="77"/>
      <c r="G165" s="81">
        <f t="shared" si="2"/>
        <v>1157793</v>
      </c>
    </row>
    <row r="166" spans="1:7" x14ac:dyDescent="0.25">
      <c r="A166" s="158" t="s">
        <v>156</v>
      </c>
      <c r="B166" s="161" t="s">
        <v>157</v>
      </c>
      <c r="C166" s="161" t="s">
        <v>108</v>
      </c>
      <c r="D166" s="17" t="s">
        <v>81</v>
      </c>
      <c r="E166" s="45">
        <f>579328</f>
        <v>579328</v>
      </c>
      <c r="F166" s="75"/>
      <c r="G166" s="76">
        <f t="shared" si="2"/>
        <v>579328</v>
      </c>
    </row>
    <row r="167" spans="1:7" x14ac:dyDescent="0.25">
      <c r="A167" s="159"/>
      <c r="B167" s="162"/>
      <c r="C167" s="162"/>
      <c r="D167" s="34" t="s">
        <v>84</v>
      </c>
      <c r="E167" s="55">
        <f>7680+116100</f>
        <v>123780</v>
      </c>
      <c r="F167" s="78"/>
      <c r="G167" s="76">
        <f t="shared" si="2"/>
        <v>123780</v>
      </c>
    </row>
    <row r="168" spans="1:7" x14ac:dyDescent="0.25">
      <c r="A168" s="159"/>
      <c r="B168" s="162"/>
      <c r="C168" s="162"/>
      <c r="D168" s="34" t="s">
        <v>109</v>
      </c>
      <c r="E168" s="55">
        <f>744195</f>
        <v>744195</v>
      </c>
      <c r="F168" s="78"/>
      <c r="G168" s="76">
        <f t="shared" si="2"/>
        <v>744195</v>
      </c>
    </row>
    <row r="169" spans="1:7" x14ac:dyDescent="0.25">
      <c r="A169" s="159"/>
      <c r="B169" s="163"/>
      <c r="C169" s="163"/>
      <c r="D169" s="36" t="s">
        <v>110</v>
      </c>
      <c r="E169" s="57">
        <v>18111</v>
      </c>
      <c r="F169" s="78"/>
      <c r="G169" s="76">
        <f t="shared" si="2"/>
        <v>18111</v>
      </c>
    </row>
    <row r="170" spans="1:7" ht="24.75" thickBot="1" x14ac:dyDescent="0.3">
      <c r="A170" s="160"/>
      <c r="B170" s="30" t="s">
        <v>82</v>
      </c>
      <c r="C170" s="31"/>
      <c r="D170" s="32"/>
      <c r="E170" s="54">
        <f>SUBTOTAL(9,E166:E169)</f>
        <v>1465414</v>
      </c>
      <c r="F170" s="77"/>
      <c r="G170" s="81">
        <f t="shared" si="2"/>
        <v>1465414</v>
      </c>
    </row>
    <row r="171" spans="1:7" x14ac:dyDescent="0.25">
      <c r="A171" s="158" t="s">
        <v>158</v>
      </c>
      <c r="B171" s="161" t="s">
        <v>159</v>
      </c>
      <c r="C171" s="161" t="s">
        <v>108</v>
      </c>
      <c r="D171" s="17" t="s">
        <v>81</v>
      </c>
      <c r="E171" s="45">
        <f>574289</f>
        <v>574289</v>
      </c>
      <c r="F171" s="75"/>
      <c r="G171" s="76">
        <f t="shared" si="2"/>
        <v>574289</v>
      </c>
    </row>
    <row r="172" spans="1:7" x14ac:dyDescent="0.25">
      <c r="A172" s="159"/>
      <c r="B172" s="162"/>
      <c r="C172" s="162"/>
      <c r="D172" s="34" t="s">
        <v>84</v>
      </c>
      <c r="E172" s="56">
        <f>10140+112900</f>
        <v>123040</v>
      </c>
      <c r="F172" s="78"/>
      <c r="G172" s="76">
        <f t="shared" si="2"/>
        <v>123040</v>
      </c>
    </row>
    <row r="173" spans="1:7" x14ac:dyDescent="0.25">
      <c r="A173" s="159"/>
      <c r="B173" s="162"/>
      <c r="C173" s="162"/>
      <c r="D173" s="34" t="s">
        <v>109</v>
      </c>
      <c r="E173" s="55">
        <f>716429</f>
        <v>716429</v>
      </c>
      <c r="F173" s="78"/>
      <c r="G173" s="76">
        <f t="shared" si="2"/>
        <v>716429</v>
      </c>
    </row>
    <row r="174" spans="1:7" x14ac:dyDescent="0.25">
      <c r="A174" s="159"/>
      <c r="B174" s="163"/>
      <c r="C174" s="163"/>
      <c r="D174" s="36" t="s">
        <v>110</v>
      </c>
      <c r="E174" s="57">
        <v>15172</v>
      </c>
      <c r="F174" s="78"/>
      <c r="G174" s="76">
        <f t="shared" si="2"/>
        <v>15172</v>
      </c>
    </row>
    <row r="175" spans="1:7" ht="24.75" thickBot="1" x14ac:dyDescent="0.3">
      <c r="A175" s="160"/>
      <c r="B175" s="30" t="s">
        <v>82</v>
      </c>
      <c r="C175" s="31"/>
      <c r="D175" s="32"/>
      <c r="E175" s="54">
        <f>SUBTOTAL(9,E171:E174)</f>
        <v>1428930</v>
      </c>
      <c r="F175" s="77"/>
      <c r="G175" s="81">
        <f t="shared" si="2"/>
        <v>1428930</v>
      </c>
    </row>
    <row r="176" spans="1:7" x14ac:dyDescent="0.25">
      <c r="A176" s="158" t="s">
        <v>160</v>
      </c>
      <c r="B176" s="161" t="s">
        <v>161</v>
      </c>
      <c r="C176" s="161" t="s">
        <v>108</v>
      </c>
      <c r="D176" s="17" t="s">
        <v>81</v>
      </c>
      <c r="E176" s="45">
        <f>390432</f>
        <v>390432</v>
      </c>
      <c r="F176" s="75"/>
      <c r="G176" s="76">
        <f t="shared" si="2"/>
        <v>390432</v>
      </c>
    </row>
    <row r="177" spans="1:7" x14ac:dyDescent="0.25">
      <c r="A177" s="159"/>
      <c r="B177" s="162"/>
      <c r="C177" s="162"/>
      <c r="D177" s="34" t="s">
        <v>84</v>
      </c>
      <c r="E177" s="56">
        <f>68000</f>
        <v>68000</v>
      </c>
      <c r="F177" s="78"/>
      <c r="G177" s="76">
        <f t="shared" si="2"/>
        <v>68000</v>
      </c>
    </row>
    <row r="178" spans="1:7" x14ac:dyDescent="0.25">
      <c r="A178" s="159"/>
      <c r="B178" s="162"/>
      <c r="C178" s="162"/>
      <c r="D178" s="34" t="s">
        <v>109</v>
      </c>
      <c r="E178" s="55">
        <f>615734</f>
        <v>615734</v>
      </c>
      <c r="F178" s="78"/>
      <c r="G178" s="76">
        <f t="shared" si="2"/>
        <v>615734</v>
      </c>
    </row>
    <row r="179" spans="1:7" x14ac:dyDescent="0.25">
      <c r="A179" s="159"/>
      <c r="B179" s="163"/>
      <c r="C179" s="163"/>
      <c r="D179" s="36" t="s">
        <v>110</v>
      </c>
      <c r="E179" s="57">
        <v>9352</v>
      </c>
      <c r="F179" s="78"/>
      <c r="G179" s="76">
        <f t="shared" si="2"/>
        <v>9352</v>
      </c>
    </row>
    <row r="180" spans="1:7" ht="24.75" thickBot="1" x14ac:dyDescent="0.3">
      <c r="A180" s="160"/>
      <c r="B180" s="30" t="s">
        <v>82</v>
      </c>
      <c r="C180" s="31"/>
      <c r="D180" s="32"/>
      <c r="E180" s="54">
        <f>SUBTOTAL(9,E176:E179)</f>
        <v>1083518</v>
      </c>
      <c r="F180" s="77"/>
      <c r="G180" s="81">
        <f t="shared" si="2"/>
        <v>1083518</v>
      </c>
    </row>
    <row r="181" spans="1:7" x14ac:dyDescent="0.25">
      <c r="A181" s="158" t="s">
        <v>162</v>
      </c>
      <c r="B181" s="161" t="s">
        <v>163</v>
      </c>
      <c r="C181" s="161" t="s">
        <v>108</v>
      </c>
      <c r="D181" s="17" t="s">
        <v>81</v>
      </c>
      <c r="E181" s="45">
        <f>558361</f>
        <v>558361</v>
      </c>
      <c r="F181" s="75"/>
      <c r="G181" s="76">
        <f t="shared" si="2"/>
        <v>558361</v>
      </c>
    </row>
    <row r="182" spans="1:7" x14ac:dyDescent="0.25">
      <c r="A182" s="159"/>
      <c r="B182" s="162"/>
      <c r="C182" s="162"/>
      <c r="D182" s="34" t="s">
        <v>84</v>
      </c>
      <c r="E182" s="55">
        <f>4050+34200</f>
        <v>38250</v>
      </c>
      <c r="F182" s="78"/>
      <c r="G182" s="76">
        <f t="shared" si="2"/>
        <v>38250</v>
      </c>
    </row>
    <row r="183" spans="1:7" x14ac:dyDescent="0.25">
      <c r="A183" s="159"/>
      <c r="B183" s="162"/>
      <c r="C183" s="162"/>
      <c r="D183" s="34" t="s">
        <v>109</v>
      </c>
      <c r="E183" s="56">
        <f>237321</f>
        <v>237321</v>
      </c>
      <c r="F183" s="78"/>
      <c r="G183" s="76">
        <f t="shared" si="2"/>
        <v>237321</v>
      </c>
    </row>
    <row r="184" spans="1:7" x14ac:dyDescent="0.25">
      <c r="A184" s="159"/>
      <c r="B184" s="163"/>
      <c r="C184" s="163"/>
      <c r="D184" s="36" t="s">
        <v>110</v>
      </c>
      <c r="E184" s="58">
        <v>119400</v>
      </c>
      <c r="F184" s="134">
        <v>4279</v>
      </c>
      <c r="G184" s="76">
        <f t="shared" si="2"/>
        <v>123679</v>
      </c>
    </row>
    <row r="185" spans="1:7" ht="24.75" thickBot="1" x14ac:dyDescent="0.3">
      <c r="A185" s="160"/>
      <c r="B185" s="30" t="s">
        <v>82</v>
      </c>
      <c r="C185" s="31"/>
      <c r="D185" s="32"/>
      <c r="E185" s="98">
        <f>SUBTOTAL(9,E181:E184)</f>
        <v>953332</v>
      </c>
      <c r="F185" s="54">
        <f>SUBTOTAL(9,F181:F184)</f>
        <v>4279</v>
      </c>
      <c r="G185" s="81">
        <f t="shared" si="2"/>
        <v>957611</v>
      </c>
    </row>
    <row r="186" spans="1:7" x14ac:dyDescent="0.25">
      <c r="A186" s="158" t="s">
        <v>164</v>
      </c>
      <c r="B186" s="161" t="s">
        <v>165</v>
      </c>
      <c r="C186" s="161" t="s">
        <v>108</v>
      </c>
      <c r="D186" s="17" t="s">
        <v>81</v>
      </c>
      <c r="E186" s="45">
        <f>683127+517632</f>
        <v>1200759</v>
      </c>
      <c r="F186" s="75"/>
      <c r="G186" s="76">
        <f t="shared" si="2"/>
        <v>1200759</v>
      </c>
    </row>
    <row r="187" spans="1:7" x14ac:dyDescent="0.25">
      <c r="A187" s="159"/>
      <c r="B187" s="162"/>
      <c r="C187" s="162"/>
      <c r="D187" s="34" t="s">
        <v>84</v>
      </c>
      <c r="E187" s="55">
        <f>82200+18600+342000</f>
        <v>442800</v>
      </c>
      <c r="F187" s="78"/>
      <c r="G187" s="76">
        <f t="shared" si="2"/>
        <v>442800</v>
      </c>
    </row>
    <row r="188" spans="1:7" x14ac:dyDescent="0.25">
      <c r="A188" s="159"/>
      <c r="B188" s="162"/>
      <c r="C188" s="162"/>
      <c r="D188" s="34" t="s">
        <v>109</v>
      </c>
      <c r="E188" s="56">
        <f>59304</f>
        <v>59304</v>
      </c>
      <c r="F188" s="78"/>
      <c r="G188" s="76">
        <f t="shared" si="2"/>
        <v>59304</v>
      </c>
    </row>
    <row r="189" spans="1:7" x14ac:dyDescent="0.25">
      <c r="A189" s="159"/>
      <c r="B189" s="163"/>
      <c r="C189" s="163"/>
      <c r="D189" s="36" t="s">
        <v>110</v>
      </c>
      <c r="E189" s="58">
        <v>46731</v>
      </c>
      <c r="F189" s="78"/>
      <c r="G189" s="76">
        <f t="shared" si="2"/>
        <v>46731</v>
      </c>
    </row>
    <row r="190" spans="1:7" ht="24.75" thickBot="1" x14ac:dyDescent="0.3">
      <c r="A190" s="160"/>
      <c r="B190" s="30" t="s">
        <v>82</v>
      </c>
      <c r="C190" s="31"/>
      <c r="D190" s="32"/>
      <c r="E190" s="54">
        <f>SUBTOTAL(9,E186:E189)</f>
        <v>1749594</v>
      </c>
      <c r="F190" s="77"/>
      <c r="G190" s="81">
        <f t="shared" si="2"/>
        <v>1749594</v>
      </c>
    </row>
    <row r="191" spans="1:7" x14ac:dyDescent="0.25">
      <c r="A191" s="158" t="s">
        <v>166</v>
      </c>
      <c r="B191" s="161" t="s">
        <v>167</v>
      </c>
      <c r="C191" s="161" t="s">
        <v>108</v>
      </c>
      <c r="D191" s="17" t="s">
        <v>81</v>
      </c>
      <c r="E191" s="45">
        <f>1169565</f>
        <v>1169565</v>
      </c>
      <c r="F191" s="75"/>
      <c r="G191" s="76">
        <f t="shared" si="2"/>
        <v>1169565</v>
      </c>
    </row>
    <row r="192" spans="1:7" x14ac:dyDescent="0.25">
      <c r="A192" s="159"/>
      <c r="B192" s="162"/>
      <c r="C192" s="162"/>
      <c r="D192" s="34" t="s">
        <v>84</v>
      </c>
      <c r="E192" s="55">
        <f>29590+104000</f>
        <v>133590</v>
      </c>
      <c r="F192" s="78"/>
      <c r="G192" s="76">
        <f t="shared" si="2"/>
        <v>133590</v>
      </c>
    </row>
    <row r="193" spans="1:7" x14ac:dyDescent="0.25">
      <c r="A193" s="159"/>
      <c r="B193" s="162"/>
      <c r="C193" s="162"/>
      <c r="D193" s="34" t="s">
        <v>109</v>
      </c>
      <c r="E193" s="55">
        <f>40868</f>
        <v>40868</v>
      </c>
      <c r="F193" s="78"/>
      <c r="G193" s="76">
        <f t="shared" si="2"/>
        <v>40868</v>
      </c>
    </row>
    <row r="194" spans="1:7" x14ac:dyDescent="0.25">
      <c r="A194" s="159"/>
      <c r="B194" s="163"/>
      <c r="C194" s="163"/>
      <c r="D194" s="36" t="s">
        <v>110</v>
      </c>
      <c r="E194" s="57">
        <v>114395</v>
      </c>
      <c r="F194" s="78"/>
      <c r="G194" s="76">
        <f t="shared" si="2"/>
        <v>114395</v>
      </c>
    </row>
    <row r="195" spans="1:7" ht="24.75" thickBot="1" x14ac:dyDescent="0.3">
      <c r="A195" s="160"/>
      <c r="B195" s="30" t="s">
        <v>82</v>
      </c>
      <c r="C195" s="31"/>
      <c r="D195" s="32"/>
      <c r="E195" s="54">
        <f>SUBTOTAL(9,E191:E194)</f>
        <v>1458418</v>
      </c>
      <c r="F195" s="77"/>
      <c r="G195" s="81">
        <f t="shared" si="2"/>
        <v>1458418</v>
      </c>
    </row>
    <row r="196" spans="1:7" x14ac:dyDescent="0.25">
      <c r="A196" s="158" t="s">
        <v>168</v>
      </c>
      <c r="B196" s="161" t="s">
        <v>169</v>
      </c>
      <c r="C196" s="161" t="s">
        <v>108</v>
      </c>
      <c r="D196" s="17" t="s">
        <v>81</v>
      </c>
      <c r="E196" s="45">
        <f>393392</f>
        <v>393392</v>
      </c>
      <c r="F196" s="75"/>
      <c r="G196" s="76">
        <f t="shared" si="2"/>
        <v>393392</v>
      </c>
    </row>
    <row r="197" spans="1:7" x14ac:dyDescent="0.25">
      <c r="A197" s="159"/>
      <c r="B197" s="162"/>
      <c r="C197" s="162"/>
      <c r="D197" s="34" t="s">
        <v>84</v>
      </c>
      <c r="E197" s="55">
        <f>18270+21000</f>
        <v>39270</v>
      </c>
      <c r="F197" s="78"/>
      <c r="G197" s="76">
        <f t="shared" si="2"/>
        <v>39270</v>
      </c>
    </row>
    <row r="198" spans="1:7" x14ac:dyDescent="0.25">
      <c r="A198" s="159"/>
      <c r="B198" s="162"/>
      <c r="C198" s="162"/>
      <c r="D198" s="34" t="s">
        <v>109</v>
      </c>
      <c r="E198" s="56">
        <f>17899</f>
        <v>17899</v>
      </c>
      <c r="F198" s="78"/>
      <c r="G198" s="76">
        <f t="shared" si="2"/>
        <v>17899</v>
      </c>
    </row>
    <row r="199" spans="1:7" x14ac:dyDescent="0.25">
      <c r="A199" s="159"/>
      <c r="B199" s="163"/>
      <c r="C199" s="163"/>
      <c r="D199" s="36" t="s">
        <v>110</v>
      </c>
      <c r="E199" s="58">
        <v>33253</v>
      </c>
      <c r="F199" s="78"/>
      <c r="G199" s="76">
        <f t="shared" si="2"/>
        <v>33253</v>
      </c>
    </row>
    <row r="200" spans="1:7" ht="24.75" thickBot="1" x14ac:dyDescent="0.3">
      <c r="A200" s="160"/>
      <c r="B200" s="30" t="s">
        <v>82</v>
      </c>
      <c r="C200" s="31"/>
      <c r="D200" s="32"/>
      <c r="E200" s="54">
        <f>SUBTOTAL(9,E196:E199)</f>
        <v>483814</v>
      </c>
      <c r="F200" s="77"/>
      <c r="G200" s="81">
        <f t="shared" si="2"/>
        <v>483814</v>
      </c>
    </row>
    <row r="201" spans="1:7" x14ac:dyDescent="0.25">
      <c r="A201" s="158" t="s">
        <v>170</v>
      </c>
      <c r="B201" s="161" t="s">
        <v>171</v>
      </c>
      <c r="C201" s="161" t="s">
        <v>113</v>
      </c>
      <c r="D201" s="17" t="s">
        <v>81</v>
      </c>
      <c r="E201" s="45">
        <f>1142887</f>
        <v>1142887</v>
      </c>
      <c r="F201" s="133">
        <v>14200</v>
      </c>
      <c r="G201" s="76">
        <f t="shared" si="2"/>
        <v>1157087</v>
      </c>
    </row>
    <row r="202" spans="1:7" x14ac:dyDescent="0.25">
      <c r="A202" s="159"/>
      <c r="B202" s="162"/>
      <c r="C202" s="162"/>
      <c r="D202" s="34" t="s">
        <v>84</v>
      </c>
      <c r="E202" s="55">
        <f>63400</f>
        <v>63400</v>
      </c>
      <c r="F202" s="78"/>
      <c r="G202" s="76">
        <f t="shared" si="2"/>
        <v>63400</v>
      </c>
    </row>
    <row r="203" spans="1:7" x14ac:dyDescent="0.25">
      <c r="A203" s="159"/>
      <c r="B203" s="163"/>
      <c r="C203" s="163"/>
      <c r="D203" s="34" t="s">
        <v>110</v>
      </c>
      <c r="E203" s="55">
        <f>15600+14348</f>
        <v>29948</v>
      </c>
      <c r="F203" s="78"/>
      <c r="G203" s="76">
        <f t="shared" si="2"/>
        <v>29948</v>
      </c>
    </row>
    <row r="204" spans="1:7" ht="24.75" thickBot="1" x14ac:dyDescent="0.3">
      <c r="A204" s="160"/>
      <c r="B204" s="30" t="s">
        <v>82</v>
      </c>
      <c r="C204" s="31"/>
      <c r="D204" s="32"/>
      <c r="E204" s="98">
        <f>SUBTOTAL(9,E201:E203)</f>
        <v>1236235</v>
      </c>
      <c r="F204" s="54">
        <f>SUBTOTAL(9,F201:F203)</f>
        <v>14200</v>
      </c>
      <c r="G204" s="81">
        <f t="shared" si="2"/>
        <v>1250435</v>
      </c>
    </row>
    <row r="205" spans="1:7" x14ac:dyDescent="0.25">
      <c r="A205" s="158" t="s">
        <v>172</v>
      </c>
      <c r="B205" s="161" t="s">
        <v>173</v>
      </c>
      <c r="C205" s="161" t="s">
        <v>113</v>
      </c>
      <c r="D205" s="17" t="s">
        <v>81</v>
      </c>
      <c r="E205" s="45">
        <f>2130030</f>
        <v>2130030</v>
      </c>
      <c r="F205" s="75"/>
      <c r="G205" s="76">
        <f t="shared" ref="G205:G210" si="3">E205+F205</f>
        <v>2130030</v>
      </c>
    </row>
    <row r="206" spans="1:7" x14ac:dyDescent="0.25">
      <c r="A206" s="159"/>
      <c r="B206" s="162"/>
      <c r="C206" s="162"/>
      <c r="D206" s="34" t="s">
        <v>84</v>
      </c>
      <c r="E206" s="55">
        <f>36970+126000</f>
        <v>162970</v>
      </c>
      <c r="F206" s="78"/>
      <c r="G206" s="76">
        <f t="shared" si="3"/>
        <v>162970</v>
      </c>
    </row>
    <row r="207" spans="1:7" x14ac:dyDescent="0.25">
      <c r="A207" s="159"/>
      <c r="B207" s="162"/>
      <c r="C207" s="162"/>
      <c r="D207" s="34" t="s">
        <v>85</v>
      </c>
      <c r="E207" s="55">
        <f>480700</f>
        <v>480700</v>
      </c>
      <c r="F207" s="78"/>
      <c r="G207" s="76">
        <f t="shared" si="3"/>
        <v>480700</v>
      </c>
    </row>
    <row r="208" spans="1:7" x14ac:dyDescent="0.25">
      <c r="A208" s="159"/>
      <c r="B208" s="163"/>
      <c r="C208" s="163"/>
      <c r="D208" s="34" t="s">
        <v>110</v>
      </c>
      <c r="E208" s="55">
        <f>59002+41454</f>
        <v>100456</v>
      </c>
      <c r="F208" s="78"/>
      <c r="G208" s="76">
        <f t="shared" si="3"/>
        <v>100456</v>
      </c>
    </row>
    <row r="209" spans="1:7" ht="24.75" thickBot="1" x14ac:dyDescent="0.3">
      <c r="A209" s="160"/>
      <c r="B209" s="30" t="s">
        <v>82</v>
      </c>
      <c r="C209" s="31"/>
      <c r="D209" s="32"/>
      <c r="E209" s="54">
        <f>SUBTOTAL(9,E205:E208)</f>
        <v>2874156</v>
      </c>
      <c r="F209" s="77"/>
      <c r="G209" s="81">
        <f t="shared" si="3"/>
        <v>2874156</v>
      </c>
    </row>
    <row r="210" spans="1:7" ht="15.75" thickBot="1" x14ac:dyDescent="0.3">
      <c r="A210" s="141" t="s">
        <v>174</v>
      </c>
      <c r="B210" s="142"/>
      <c r="C210" s="156"/>
      <c r="D210" s="38"/>
      <c r="E210" s="59">
        <f>E12+E63+E66+E68+E70+E72+E74+E76+E78+E80+E82+E84+E87+E90+E93+E97+E100+E103+E109+E113+E119+E124+E129+E134+E139+E144+E149+E154+E160+E165+E170+E175+E180+E185+E190+E195+E200+E204+E209</f>
        <v>87869292.599999994</v>
      </c>
      <c r="F210" s="95">
        <f>F12+F63+F66+F68+F70+F72+F74+F76+F78+F80+F82+F84+F87+F90+F93+F97+F100+F103+F109+F113+F119+F124+F129+F134+F139+F144+F149+F154+F160+F165+F170+F175+F180+F185+F190+F195+F200+F204+F209</f>
        <v>702423</v>
      </c>
      <c r="G210" s="83">
        <f t="shared" si="3"/>
        <v>88571715.599999994</v>
      </c>
    </row>
    <row r="211" spans="1:7" ht="15.75" thickBot="1" x14ac:dyDescent="0.3">
      <c r="A211" s="10"/>
      <c r="B211" s="10"/>
      <c r="C211" s="10"/>
      <c r="D211" s="39"/>
      <c r="E211" s="10"/>
      <c r="F211" s="79"/>
      <c r="G211" s="79"/>
    </row>
    <row r="212" spans="1:7" ht="36.75" thickBot="1" x14ac:dyDescent="0.3">
      <c r="A212" s="10"/>
      <c r="B212" s="40" t="s">
        <v>175</v>
      </c>
      <c r="C212" s="144" t="s">
        <v>176</v>
      </c>
      <c r="D212" s="144"/>
      <c r="E212" s="60" t="s">
        <v>177</v>
      </c>
      <c r="F212" s="72" t="s">
        <v>210</v>
      </c>
      <c r="G212" s="73" t="s">
        <v>211</v>
      </c>
    </row>
    <row r="213" spans="1:7" x14ac:dyDescent="0.25">
      <c r="A213" s="10"/>
      <c r="B213" s="41" t="s">
        <v>178</v>
      </c>
      <c r="C213" s="157" t="s">
        <v>179</v>
      </c>
      <c r="D213" s="157"/>
      <c r="E213" s="61">
        <f>E12+E17+E66</f>
        <v>8360862</v>
      </c>
      <c r="F213" s="75"/>
      <c r="G213" s="76">
        <f>E213+F213</f>
        <v>8360862</v>
      </c>
    </row>
    <row r="214" spans="1:7" x14ac:dyDescent="0.25">
      <c r="A214" s="10"/>
      <c r="B214" s="42" t="s">
        <v>180</v>
      </c>
      <c r="C214" s="147" t="s">
        <v>181</v>
      </c>
      <c r="D214" s="147"/>
      <c r="E214" s="50">
        <f>E21+E68+E70+E72+E74+E76+E78+E80+E82+E84</f>
        <v>4759868</v>
      </c>
      <c r="F214" s="78"/>
      <c r="G214" s="92">
        <f t="shared" ref="G214:G224" si="4">E214+F214</f>
        <v>4759868</v>
      </c>
    </row>
    <row r="215" spans="1:7" x14ac:dyDescent="0.25">
      <c r="A215" s="10"/>
      <c r="B215" s="42" t="s">
        <v>182</v>
      </c>
      <c r="C215" s="147" t="s">
        <v>183</v>
      </c>
      <c r="D215" s="147"/>
      <c r="E215" s="50">
        <f>E26</f>
        <v>792482</v>
      </c>
      <c r="F215" s="50"/>
      <c r="G215" s="92">
        <f t="shared" si="4"/>
        <v>792482</v>
      </c>
    </row>
    <row r="216" spans="1:7" ht="29.25" customHeight="1" x14ac:dyDescent="0.25">
      <c r="A216" s="10"/>
      <c r="B216" s="42" t="s">
        <v>184</v>
      </c>
      <c r="C216" s="147" t="s">
        <v>185</v>
      </c>
      <c r="D216" s="147"/>
      <c r="E216" s="50">
        <f>E33</f>
        <v>9802476</v>
      </c>
      <c r="F216" s="50">
        <f>F33</f>
        <v>-27320</v>
      </c>
      <c r="G216" s="92">
        <f t="shared" si="4"/>
        <v>9775156</v>
      </c>
    </row>
    <row r="217" spans="1:7" x14ac:dyDescent="0.25">
      <c r="A217" s="10"/>
      <c r="B217" s="42" t="s">
        <v>186</v>
      </c>
      <c r="C217" s="147" t="s">
        <v>187</v>
      </c>
      <c r="D217" s="147"/>
      <c r="E217" s="50">
        <f>E38</f>
        <v>9498805</v>
      </c>
      <c r="F217" s="50">
        <f>F38</f>
        <v>322300</v>
      </c>
      <c r="G217" s="92">
        <f t="shared" si="4"/>
        <v>9821105</v>
      </c>
    </row>
    <row r="218" spans="1:7" x14ac:dyDescent="0.25">
      <c r="A218" s="10"/>
      <c r="B218" s="42" t="s">
        <v>188</v>
      </c>
      <c r="C218" s="147" t="s">
        <v>189</v>
      </c>
      <c r="D218" s="147"/>
      <c r="E218" s="50">
        <f>E41+E87</f>
        <v>742683</v>
      </c>
      <c r="F218" s="50">
        <f>F41+F87</f>
        <v>28227</v>
      </c>
      <c r="G218" s="92">
        <f t="shared" si="4"/>
        <v>770910</v>
      </c>
    </row>
    <row r="219" spans="1:7" x14ac:dyDescent="0.25">
      <c r="A219" s="10"/>
      <c r="B219" s="42" t="s">
        <v>190</v>
      </c>
      <c r="C219" s="147" t="s">
        <v>191</v>
      </c>
      <c r="D219" s="147"/>
      <c r="E219" s="50">
        <f>E43+E90+E93+E97+E100+E103</f>
        <v>5292875</v>
      </c>
      <c r="F219" s="78"/>
      <c r="G219" s="92">
        <f t="shared" si="4"/>
        <v>5292875</v>
      </c>
    </row>
    <row r="220" spans="1:7" x14ac:dyDescent="0.25">
      <c r="A220" s="10"/>
      <c r="B220" s="42" t="s">
        <v>192</v>
      </c>
      <c r="C220" s="147" t="s">
        <v>193</v>
      </c>
      <c r="D220" s="147"/>
      <c r="E220" s="50">
        <f>E50+E109+E113+E119+E124+E129+E134+E139+E144+E149+E154+E160+E165+E170+E175+E180+E185+E190+E195+E200</f>
        <v>36821099.600000001</v>
      </c>
      <c r="F220" s="50">
        <f>F50+F109+F113+F119+F124+F129+F134+F139+F144+F149+F154+F160+F165+F170+F175+F180+F185+F190+F195+F200</f>
        <v>360831</v>
      </c>
      <c r="G220" s="92">
        <f t="shared" si="4"/>
        <v>37181930.600000001</v>
      </c>
    </row>
    <row r="221" spans="1:7" x14ac:dyDescent="0.25">
      <c r="A221" s="10"/>
      <c r="B221" s="42" t="s">
        <v>194</v>
      </c>
      <c r="C221" s="147" t="s">
        <v>195</v>
      </c>
      <c r="D221" s="147"/>
      <c r="E221" s="50">
        <f>E56+E204+E209</f>
        <v>10650054</v>
      </c>
      <c r="F221" s="50">
        <f>F56+F204+F209</f>
        <v>18385</v>
      </c>
      <c r="G221" s="92">
        <f t="shared" si="4"/>
        <v>10668439</v>
      </c>
    </row>
    <row r="222" spans="1:7" x14ac:dyDescent="0.25">
      <c r="A222" s="10"/>
      <c r="B222" s="43">
        <v>10</v>
      </c>
      <c r="C222" s="148" t="s">
        <v>196</v>
      </c>
      <c r="D222" s="149"/>
      <c r="E222" s="62">
        <f>E58</f>
        <v>871000</v>
      </c>
      <c r="F222" s="78"/>
      <c r="G222" s="92">
        <f t="shared" si="4"/>
        <v>871000</v>
      </c>
    </row>
    <row r="223" spans="1:7" ht="26.25" customHeight="1" thickBot="1" x14ac:dyDescent="0.3">
      <c r="A223" s="10"/>
      <c r="B223" s="43">
        <v>11</v>
      </c>
      <c r="C223" s="140" t="s">
        <v>197</v>
      </c>
      <c r="D223" s="140"/>
      <c r="E223" s="62">
        <f>E62</f>
        <v>277088</v>
      </c>
      <c r="F223" s="80"/>
      <c r="G223" s="93">
        <f t="shared" si="4"/>
        <v>277088</v>
      </c>
    </row>
    <row r="224" spans="1:7" ht="15.75" thickBot="1" x14ac:dyDescent="0.3">
      <c r="A224" s="10"/>
      <c r="B224" s="141" t="s">
        <v>174</v>
      </c>
      <c r="C224" s="142"/>
      <c r="D224" s="143"/>
      <c r="E224" s="74">
        <f t="shared" ref="E224:F224" si="5">SUBTOTAL(9,E213:E223)</f>
        <v>87869292.599999994</v>
      </c>
      <c r="F224" s="74">
        <f t="shared" si="5"/>
        <v>702423</v>
      </c>
      <c r="G224" s="84">
        <f t="shared" si="4"/>
        <v>88571715.599999994</v>
      </c>
    </row>
    <row r="225" spans="1:7" ht="15.75" thickBot="1" x14ac:dyDescent="0.3">
      <c r="A225" s="10"/>
      <c r="B225" s="10"/>
      <c r="C225" s="10"/>
      <c r="D225" s="39"/>
      <c r="E225" s="10"/>
      <c r="F225" s="79"/>
      <c r="G225" s="79"/>
    </row>
    <row r="226" spans="1:7" ht="36.75" thickBot="1" x14ac:dyDescent="0.3">
      <c r="A226" s="10"/>
      <c r="B226" s="44" t="s">
        <v>198</v>
      </c>
      <c r="C226" s="144" t="s">
        <v>176</v>
      </c>
      <c r="D226" s="144"/>
      <c r="E226" s="63" t="s">
        <v>177</v>
      </c>
      <c r="F226" s="72" t="s">
        <v>210</v>
      </c>
      <c r="G226" s="73" t="s">
        <v>211</v>
      </c>
    </row>
    <row r="227" spans="1:7" ht="24.75" customHeight="1" x14ac:dyDescent="0.25">
      <c r="A227" s="10"/>
      <c r="B227" s="41" t="s">
        <v>81</v>
      </c>
      <c r="C227" s="145" t="s">
        <v>199</v>
      </c>
      <c r="D227" s="145"/>
      <c r="E227" s="96">
        <f>E11+E13+E18+E22+E27+E34+E39+E42+E44+E51+E57+E59+E64+E67+E69+E71+E73+E75+E77+E79+E81+E83+E85+E88+E91+E94+E98+E101+E104+E110+E114+E120+E125+E130+E135+E140+E145+E150+E155+E161+E166+E171+E176+E181+E186+E191+E196+E201+E205</f>
        <v>49065140</v>
      </c>
      <c r="F227" s="96">
        <f>F11+F13+F18+F22+F27+F34+F39+F42+F44+F51+F57+F59+F64+F67+F69+F71+F73+F75+F77+F79+F81+F83+F85+F88+F91+F94+F98+F101+F104+F110+F114+F120+F125+F130+F135+F140+F145+F150+F155+F161+F166+F171+F176+F181+F186+F191+F196+F201+F205</f>
        <v>14200</v>
      </c>
      <c r="G227" s="76">
        <f>E227+F227</f>
        <v>49079340</v>
      </c>
    </row>
    <row r="228" spans="1:7" ht="21" customHeight="1" x14ac:dyDescent="0.25">
      <c r="A228" s="10"/>
      <c r="B228" s="42" t="s">
        <v>84</v>
      </c>
      <c r="C228" s="146" t="s">
        <v>200</v>
      </c>
      <c r="D228" s="146"/>
      <c r="E228" s="48">
        <f>E14+E19+E89+E92+E95+E99+E102+E105+E111+E115+E121+E126+E131+E136+E141+E146+E151+E156+E162+E167+E172+E177+E182+E187+E192+E197+E202+E206</f>
        <v>2426070</v>
      </c>
      <c r="F228" s="78"/>
      <c r="G228" s="92">
        <f t="shared" ref="G228:G240" si="6">E228+F228</f>
        <v>2426070</v>
      </c>
    </row>
    <row r="229" spans="1:7" ht="22.5" customHeight="1" x14ac:dyDescent="0.25">
      <c r="A229" s="10"/>
      <c r="B229" s="42" t="s">
        <v>85</v>
      </c>
      <c r="C229" s="146" t="s">
        <v>201</v>
      </c>
      <c r="D229" s="146"/>
      <c r="E229" s="48">
        <f>E15+E23+E52+E61+E65+E86+E207</f>
        <v>4938197</v>
      </c>
      <c r="F229" s="78"/>
      <c r="G229" s="92">
        <f t="shared" si="6"/>
        <v>4938197</v>
      </c>
    </row>
    <row r="230" spans="1:7" ht="24.75" customHeight="1" x14ac:dyDescent="0.25">
      <c r="A230" s="10"/>
      <c r="B230" s="42" t="s">
        <v>102</v>
      </c>
      <c r="C230" s="154" t="s">
        <v>63</v>
      </c>
      <c r="D230" s="155"/>
      <c r="E230" s="48">
        <f>E37</f>
        <v>2068600</v>
      </c>
      <c r="F230" s="48">
        <f>F37</f>
        <v>322300</v>
      </c>
      <c r="G230" s="92">
        <f t="shared" si="6"/>
        <v>2390900</v>
      </c>
    </row>
    <row r="231" spans="1:7" ht="27" customHeight="1" x14ac:dyDescent="0.25">
      <c r="A231" s="10"/>
      <c r="B231" s="42" t="s">
        <v>109</v>
      </c>
      <c r="C231" s="146" t="s">
        <v>59</v>
      </c>
      <c r="D231" s="146"/>
      <c r="E231" s="48">
        <f>E45+E49+E106+E112+E116+E122+E127+E132+E137+E142+E147+E152+E157+E163+E168+E173+E178+E183+E188+E193+E198</f>
        <v>20977599.600000001</v>
      </c>
      <c r="F231" s="78"/>
      <c r="G231" s="92">
        <f t="shared" si="6"/>
        <v>20977599.600000001</v>
      </c>
    </row>
    <row r="232" spans="1:7" ht="25.5" customHeight="1" x14ac:dyDescent="0.25">
      <c r="A232" s="10"/>
      <c r="B232" s="42" t="s">
        <v>110</v>
      </c>
      <c r="C232" s="146" t="s">
        <v>202</v>
      </c>
      <c r="D232" s="146"/>
      <c r="E232" s="48">
        <f>E47+E54+E96+E118+E123+E128+E133+E138+E143+E148+E153+E159+E164+E169+E174+E179+E184+E189+E194+E199+E203+E208+E108</f>
        <v>1424718</v>
      </c>
      <c r="F232" s="48">
        <f>F47+F54+F96+F118+F123+F128+F133+F138+F143+F148+F153+F159+F164+F169+F174+F179+F184+F189+F194+F199+F203+F208+F108</f>
        <v>65294</v>
      </c>
      <c r="G232" s="92">
        <f t="shared" si="6"/>
        <v>1490012</v>
      </c>
    </row>
    <row r="233" spans="1:7" x14ac:dyDescent="0.25">
      <c r="A233" s="10"/>
      <c r="B233" s="42" t="s">
        <v>92</v>
      </c>
      <c r="C233" s="154" t="s">
        <v>203</v>
      </c>
      <c r="D233" s="155"/>
      <c r="E233" s="48">
        <f>E24+E31+E46+E53</f>
        <v>931109</v>
      </c>
      <c r="F233" s="48">
        <f>F24+F31+F46+F53</f>
        <v>5600</v>
      </c>
      <c r="G233" s="92">
        <f t="shared" si="6"/>
        <v>936709</v>
      </c>
    </row>
    <row r="234" spans="1:7" x14ac:dyDescent="0.25">
      <c r="A234" s="10"/>
      <c r="B234" s="42" t="s">
        <v>96</v>
      </c>
      <c r="C234" s="145" t="s">
        <v>204</v>
      </c>
      <c r="D234" s="145"/>
      <c r="E234" s="48">
        <f>E28</f>
        <v>1760000</v>
      </c>
      <c r="F234" s="78"/>
      <c r="G234" s="92">
        <f t="shared" si="6"/>
        <v>1760000</v>
      </c>
    </row>
    <row r="235" spans="1:7" ht="38.25" customHeight="1" x14ac:dyDescent="0.25">
      <c r="A235" s="10"/>
      <c r="B235" s="42" t="s">
        <v>86</v>
      </c>
      <c r="C235" s="146" t="s">
        <v>205</v>
      </c>
      <c r="D235" s="146"/>
      <c r="E235" s="48">
        <f>E16+E25+E32+E48+E55+E107+E117+E158</f>
        <v>2772181</v>
      </c>
      <c r="F235" s="48">
        <f>F16+F25+F32+F48+F55+F107+F117+F158</f>
        <v>294122</v>
      </c>
      <c r="G235" s="92">
        <f t="shared" si="6"/>
        <v>3066303</v>
      </c>
    </row>
    <row r="236" spans="1:7" ht="28.5" customHeight="1" x14ac:dyDescent="0.25">
      <c r="A236" s="10"/>
      <c r="B236" s="42" t="s">
        <v>89</v>
      </c>
      <c r="C236" s="146" t="s">
        <v>206</v>
      </c>
      <c r="D236" s="146"/>
      <c r="E236" s="48">
        <f>E20+E30</f>
        <v>475000</v>
      </c>
      <c r="F236" s="78"/>
      <c r="G236" s="92">
        <f t="shared" si="6"/>
        <v>475000</v>
      </c>
    </row>
    <row r="237" spans="1:7" ht="25.5" customHeight="1" x14ac:dyDescent="0.25">
      <c r="A237" s="10"/>
      <c r="B237" s="42" t="s">
        <v>100</v>
      </c>
      <c r="C237" s="146" t="s">
        <v>207</v>
      </c>
      <c r="D237" s="146"/>
      <c r="E237" s="48">
        <f>E35+E60</f>
        <v>327000</v>
      </c>
      <c r="F237" s="78"/>
      <c r="G237" s="92">
        <f t="shared" si="6"/>
        <v>327000</v>
      </c>
    </row>
    <row r="238" spans="1:7" ht="25.5" customHeight="1" x14ac:dyDescent="0.25">
      <c r="A238" s="10"/>
      <c r="B238" s="42" t="s">
        <v>101</v>
      </c>
      <c r="C238" s="146" t="s">
        <v>208</v>
      </c>
      <c r="D238" s="146"/>
      <c r="E238" s="48">
        <f>E36+E40</f>
        <v>273678</v>
      </c>
      <c r="F238" s="48">
        <f>F36+F40</f>
        <v>907</v>
      </c>
      <c r="G238" s="92">
        <f t="shared" si="6"/>
        <v>274585</v>
      </c>
    </row>
    <row r="239" spans="1:7" ht="39" customHeight="1" thickBot="1" x14ac:dyDescent="0.3">
      <c r="A239" s="10"/>
      <c r="B239" s="43" t="s">
        <v>97</v>
      </c>
      <c r="C239" s="150" t="s">
        <v>209</v>
      </c>
      <c r="D239" s="150"/>
      <c r="E239" s="97">
        <f>E29</f>
        <v>430000</v>
      </c>
      <c r="F239" s="80"/>
      <c r="G239" s="93">
        <f t="shared" si="6"/>
        <v>430000</v>
      </c>
    </row>
    <row r="240" spans="1:7" ht="15.75" thickBot="1" x14ac:dyDescent="0.3">
      <c r="A240" s="10"/>
      <c r="B240" s="151" t="s">
        <v>174</v>
      </c>
      <c r="C240" s="152"/>
      <c r="D240" s="153"/>
      <c r="E240" s="64">
        <f>SUBTOTAL(9,E227:E239)</f>
        <v>87869292.599999994</v>
      </c>
      <c r="F240" s="64">
        <f>SUBTOTAL(9,F227:F239)</f>
        <v>702423</v>
      </c>
      <c r="G240" s="84">
        <f t="shared" si="6"/>
        <v>88571715.599999994</v>
      </c>
    </row>
  </sheetData>
  <mergeCells count="135">
    <mergeCell ref="A8:G8"/>
    <mergeCell ref="C13:C16"/>
    <mergeCell ref="C18:C20"/>
    <mergeCell ref="C22:C25"/>
    <mergeCell ref="C27:C32"/>
    <mergeCell ref="C34:C37"/>
    <mergeCell ref="B104:B108"/>
    <mergeCell ref="C104:C108"/>
    <mergeCell ref="A94:A97"/>
    <mergeCell ref="B94:B96"/>
    <mergeCell ref="C94:C96"/>
    <mergeCell ref="A98:A100"/>
    <mergeCell ref="B98:B99"/>
    <mergeCell ref="C98:C99"/>
    <mergeCell ref="A88:A90"/>
    <mergeCell ref="B88:B89"/>
    <mergeCell ref="C88:C89"/>
    <mergeCell ref="A91:A93"/>
    <mergeCell ref="B91:B92"/>
    <mergeCell ref="C91:C92"/>
    <mergeCell ref="C39:C40"/>
    <mergeCell ref="C44:C48"/>
    <mergeCell ref="C51:C55"/>
    <mergeCell ref="C59:C61"/>
    <mergeCell ref="A64:A66"/>
    <mergeCell ref="B64:B65"/>
    <mergeCell ref="C64:C65"/>
    <mergeCell ref="A11:A12"/>
    <mergeCell ref="A13:A63"/>
    <mergeCell ref="B13:B62"/>
    <mergeCell ref="A79:A80"/>
    <mergeCell ref="A81:A82"/>
    <mergeCell ref="A83:A84"/>
    <mergeCell ref="A85:A87"/>
    <mergeCell ref="B85:B86"/>
    <mergeCell ref="C85:C86"/>
    <mergeCell ref="A67:A68"/>
    <mergeCell ref="A69:A70"/>
    <mergeCell ref="A71:A72"/>
    <mergeCell ref="A73:A74"/>
    <mergeCell ref="A75:A76"/>
    <mergeCell ref="A77:A78"/>
    <mergeCell ref="A110:A113"/>
    <mergeCell ref="B110:B112"/>
    <mergeCell ref="C110:C112"/>
    <mergeCell ref="A114:A119"/>
    <mergeCell ref="B114:B118"/>
    <mergeCell ref="C114:C118"/>
    <mergeCell ref="A101:A103"/>
    <mergeCell ref="B101:B102"/>
    <mergeCell ref="C101:C102"/>
    <mergeCell ref="A104:A109"/>
    <mergeCell ref="A130:A134"/>
    <mergeCell ref="B130:B133"/>
    <mergeCell ref="C130:C133"/>
    <mergeCell ref="A135:A139"/>
    <mergeCell ref="B135:B138"/>
    <mergeCell ref="C135:C138"/>
    <mergeCell ref="A120:A124"/>
    <mergeCell ref="B120:B123"/>
    <mergeCell ref="C120:C123"/>
    <mergeCell ref="A125:A129"/>
    <mergeCell ref="B125:B128"/>
    <mergeCell ref="C125:C128"/>
    <mergeCell ref="A150:A154"/>
    <mergeCell ref="B150:B153"/>
    <mergeCell ref="C150:C153"/>
    <mergeCell ref="A155:A160"/>
    <mergeCell ref="B155:B159"/>
    <mergeCell ref="C155:C159"/>
    <mergeCell ref="A140:A144"/>
    <mergeCell ref="B140:B143"/>
    <mergeCell ref="C140:C143"/>
    <mergeCell ref="A145:A149"/>
    <mergeCell ref="B145:B148"/>
    <mergeCell ref="C145:C148"/>
    <mergeCell ref="A171:A175"/>
    <mergeCell ref="B171:B174"/>
    <mergeCell ref="C171:C174"/>
    <mergeCell ref="A176:A180"/>
    <mergeCell ref="B176:B179"/>
    <mergeCell ref="C176:C179"/>
    <mergeCell ref="A161:A165"/>
    <mergeCell ref="B161:B164"/>
    <mergeCell ref="C161:C164"/>
    <mergeCell ref="A166:A170"/>
    <mergeCell ref="B166:B169"/>
    <mergeCell ref="C166:C169"/>
    <mergeCell ref="A191:A195"/>
    <mergeCell ref="B191:B194"/>
    <mergeCell ref="C191:C194"/>
    <mergeCell ref="A196:A200"/>
    <mergeCell ref="B196:B199"/>
    <mergeCell ref="C196:C199"/>
    <mergeCell ref="A181:A185"/>
    <mergeCell ref="B181:B184"/>
    <mergeCell ref="C181:C184"/>
    <mergeCell ref="A186:A190"/>
    <mergeCell ref="B186:B189"/>
    <mergeCell ref="C186:C189"/>
    <mergeCell ref="A210:C210"/>
    <mergeCell ref="C212:D212"/>
    <mergeCell ref="C213:D213"/>
    <mergeCell ref="C214:D214"/>
    <mergeCell ref="C215:D215"/>
    <mergeCell ref="C216:D216"/>
    <mergeCell ref="A201:A204"/>
    <mergeCell ref="B201:B203"/>
    <mergeCell ref="C201:C203"/>
    <mergeCell ref="A205:A209"/>
    <mergeCell ref="B205:B208"/>
    <mergeCell ref="C205:C208"/>
    <mergeCell ref="C236:D236"/>
    <mergeCell ref="C237:D237"/>
    <mergeCell ref="C238:D238"/>
    <mergeCell ref="C239:D239"/>
    <mergeCell ref="B240:D240"/>
    <mergeCell ref="C230:D230"/>
    <mergeCell ref="C231:D231"/>
    <mergeCell ref="C232:D232"/>
    <mergeCell ref="C233:D233"/>
    <mergeCell ref="C234:D234"/>
    <mergeCell ref="C235:D235"/>
    <mergeCell ref="C223:D223"/>
    <mergeCell ref="B224:D224"/>
    <mergeCell ref="C226:D226"/>
    <mergeCell ref="C227:D227"/>
    <mergeCell ref="C228:D228"/>
    <mergeCell ref="C229:D229"/>
    <mergeCell ref="C217:D217"/>
    <mergeCell ref="C218:D218"/>
    <mergeCell ref="C219:D219"/>
    <mergeCell ref="C220:D220"/>
    <mergeCell ref="C221:D221"/>
    <mergeCell ref="C222:D222"/>
  </mergeCells>
  <conditionalFormatting sqref="E11:E66 F50 F26 F63 F41 F33 F38">
    <cfRule type="cellIs" dxfId="13" priority="1" stopIfTrue="1" operator="equal">
      <formula>0</formula>
    </cfRule>
  </conditionalFormatting>
  <conditionalFormatting sqref="E39">
    <cfRule type="cellIs" dxfId="12" priority="11" stopIfTrue="1" operator="equal">
      <formula>0</formula>
    </cfRule>
  </conditionalFormatting>
  <conditionalFormatting sqref="E55">
    <cfRule type="cellIs" dxfId="11" priority="10" stopIfTrue="1" operator="equal">
      <formula>0</formula>
    </cfRule>
  </conditionalFormatting>
  <conditionalFormatting sqref="E64:E65">
    <cfRule type="cellIs" dxfId="10" priority="2" stopIfTrue="1" operator="equal">
      <formula>0</formula>
    </cfRule>
  </conditionalFormatting>
  <conditionalFormatting sqref="E67 E69 E71 E73 E75 E77 E79 E81 E83 E85:E86 E88 E91 E94 E96 E98:E99 E101:E102 E104 E106:E108 E125 E127:E128 E130:E131 E135 E137:E138 E140 E142:E143 E145 E147:E148 E150 E152:E153 E155 E157:E159 E161:E162 E166:E169 E171 E173:E174 E176 E178:E179 E181:E182 E191:E194 E196:E197 E201:E203 E205:E208 E11 E13:E16 E227:E239 F227 F235 F232:F233 F230 F238">
    <cfRule type="cellIs" dxfId="9" priority="14" stopIfTrue="1" operator="equal">
      <formula>0</formula>
    </cfRule>
  </conditionalFormatting>
  <conditionalFormatting sqref="E110 E112">
    <cfRule type="cellIs" dxfId="8" priority="7" stopIfTrue="1" operator="equal">
      <formula>0</formula>
    </cfRule>
  </conditionalFormatting>
  <conditionalFormatting sqref="E114 E116:E118">
    <cfRule type="cellIs" dxfId="7" priority="6" stopIfTrue="1" operator="equal">
      <formula>0</formula>
    </cfRule>
  </conditionalFormatting>
  <conditionalFormatting sqref="E120 E122:E123">
    <cfRule type="cellIs" dxfId="6" priority="5" stopIfTrue="1" operator="equal">
      <formula>0</formula>
    </cfRule>
  </conditionalFormatting>
  <conditionalFormatting sqref="E186:E187">
    <cfRule type="cellIs" dxfId="5" priority="4" stopIfTrue="1" operator="equal">
      <formula>0</formula>
    </cfRule>
  </conditionalFormatting>
  <conditionalFormatting sqref="E186:E190">
    <cfRule type="cellIs" dxfId="4" priority="3" stopIfTrue="1" operator="equal">
      <formula>0</formula>
    </cfRule>
  </conditionalFormatting>
  <conditionalFormatting sqref="E191:E210 E67:E185 F210 F204 F185">
    <cfRule type="cellIs" dxfId="3" priority="13" stopIfTrue="1" operator="equal">
      <formula>0</formula>
    </cfRule>
  </conditionalFormatting>
  <conditionalFormatting sqref="E210:F210">
    <cfRule type="cellIs" dxfId="2" priority="12" stopIfTrue="1" operator="equal">
      <formula>0</formula>
    </cfRule>
  </conditionalFormatting>
  <conditionalFormatting sqref="E213:E224 F224 F220:F221 F215:F218">
    <cfRule type="cellIs" dxfId="1" priority="9" stopIfTrue="1" operator="equal">
      <formula>0</formula>
    </cfRule>
  </conditionalFormatting>
  <conditionalFormatting sqref="E240:F240">
    <cfRule type="cellIs" dxfId="0" priority="8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6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3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2025-04-15T06:38:55Z</cp:lastPrinted>
  <dcterms:created xsi:type="dcterms:W3CDTF">2025-03-26T13:26:14Z</dcterms:created>
  <dcterms:modified xsi:type="dcterms:W3CDTF">2025-04-15T06:40:46Z</dcterms:modified>
</cp:coreProperties>
</file>